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20" tabRatio="858" firstSheet="13" activeTab="21"/>
  </bookViews>
  <sheets>
    <sheet name="прил №1 доходы " sheetId="3" r:id="rId1"/>
    <sheet name="прил №2 оценка" sheetId="24" r:id="rId2"/>
    <sheet name="прил №3 межбюдж" sheetId="5" r:id="rId3"/>
    <sheet name="Прил №4 разд подр" sheetId="35" r:id="rId4"/>
    <sheet name="Прил №5 ВСРБМР" sheetId="36" r:id="rId5"/>
    <sheet name="прил №6 налоги" sheetId="4" r:id="rId6"/>
    <sheet name=" прил №8 дот пос " sheetId="9" r:id="rId7"/>
    <sheet name="прил №9 субв перед полн" sheetId="25" r:id="rId8"/>
    <sheet name="Прил №10 субсид поселен" sheetId="37" r:id="rId9"/>
    <sheet name="прило №11 гор среда" sheetId="15" r:id="rId10"/>
    <sheet name="прил №12 вус" sheetId="16" r:id="rId11"/>
    <sheet name=" Прил 13госстандарт" sheetId="18" r:id="rId12"/>
    <sheet name="прил 14 питание дети инва " sheetId="30" r:id="rId13"/>
    <sheet name="прил №15 питание 1-4кл" sheetId="11" r:id="rId14"/>
    <sheet name="Прил 16 кл рук" sheetId="34" r:id="rId15"/>
    <sheet name="Лист1" sheetId="39" r:id="rId16"/>
    <sheet name="прил №17 смета резерв" sheetId="13" r:id="rId17"/>
    <sheet name="прил №18 смета дор фонда" sheetId="20" r:id="rId18"/>
    <sheet name="прил №19 гот" sheetId="14" r:id="rId19"/>
    <sheet name="прил №20 МБУ ЦБ" sheetId="21" r:id="rId20"/>
    <sheet name="прил №21 внешк учрежд" sheetId="26" r:id="rId21"/>
    <sheet name="Прил №22 МБУ ЖКХ" sheetId="38" r:id="rId22"/>
  </sheets>
  <externalReferences>
    <externalReference r:id="rId23"/>
    <externalReference r:id="rId24"/>
  </externalReferences>
  <definedNames>
    <definedName name="_xlnm.Print_Area" localSheetId="11">' Прил 13госстандарт'!$A$1:$R$76</definedName>
    <definedName name="_xlnm.Print_Area" localSheetId="6">' прил №8 дот пос '!$A$1:$D$30</definedName>
    <definedName name="_xlnm.Print_Area" localSheetId="12">'прил 14 питание дети инва '!$A$1:$F$43</definedName>
    <definedName name="_xlnm.Print_Area" localSheetId="14">'Прил 16 кл рук'!$A$1:$H$44</definedName>
    <definedName name="_xlnm.Print_Area" localSheetId="0">'прил №1 доходы '!$A$1:$G$57</definedName>
    <definedName name="_xlnm.Print_Area" localSheetId="10">'прил №12 вус'!$A$2:$D$32</definedName>
    <definedName name="_xlnm.Print_Area" localSheetId="13">'прил №15 питание 1-4кл'!$A$1:$F$42</definedName>
    <definedName name="_xlnm.Print_Area" localSheetId="17">'прил №18 смета дор фонда'!$A$1:$G$22</definedName>
    <definedName name="_xlnm.Print_Area" localSheetId="1">'прил №2 оценка'!$A$1:$E$59</definedName>
    <definedName name="_xlnm.Print_Area" localSheetId="19">'прил №20 МБУ ЦБ'!$A$1:$C$19</definedName>
    <definedName name="_xlnm.Print_Area" localSheetId="20">'прил №21 внешк учрежд'!$A$1:$C$57</definedName>
    <definedName name="_xlnm.Print_Area" localSheetId="2">'прил №3 межбюдж'!$A$1:$D$38</definedName>
    <definedName name="_xlnm.Print_Area" localSheetId="3">'Прил №4 разд подр'!$A$2:$F$66</definedName>
    <definedName name="_xlnm.Print_Area" localSheetId="4">'Прил №5 ВСРБМР'!$A$1:$I$221</definedName>
    <definedName name="_xlnm.Print_Area" localSheetId="5">'прил №6 налоги'!$A$1:$S$33</definedName>
    <definedName name="_xlnm.Print_Area" localSheetId="7">'прил №9 субв перед полн'!$A$1:$I$31</definedName>
    <definedName name="_xlnm.Print_Area" localSheetId="9">'прило №11 гор среда'!$A$1:$E$32</definedName>
  </definedNames>
  <calcPr calcId="162913" iterate="1"/>
</workbook>
</file>

<file path=xl/calcChain.xml><?xml version="1.0" encoding="utf-8"?>
<calcChain xmlns="http://schemas.openxmlformats.org/spreadsheetml/2006/main">
  <c r="B31" i="38" l="1"/>
  <c r="Y13" i="4"/>
  <c r="Z13" i="4"/>
  <c r="AA13" i="4"/>
  <c r="AC13" i="4"/>
  <c r="AD13" i="4"/>
  <c r="AE13" i="4"/>
  <c r="Y14" i="4"/>
  <c r="Z14" i="4"/>
  <c r="AA14" i="4"/>
  <c r="AC14" i="4"/>
  <c r="AD14" i="4"/>
  <c r="AE14" i="4"/>
  <c r="Y15" i="4"/>
  <c r="Z15" i="4"/>
  <c r="AA15" i="4"/>
  <c r="AC15" i="4"/>
  <c r="AD15" i="4"/>
  <c r="AE15" i="4"/>
  <c r="Y16" i="4"/>
  <c r="Z16" i="4"/>
  <c r="AA16" i="4"/>
  <c r="AC16" i="4"/>
  <c r="AD16" i="4"/>
  <c r="AE16" i="4"/>
  <c r="Y17" i="4"/>
  <c r="Z17" i="4"/>
  <c r="AA17" i="4"/>
  <c r="AC17" i="4"/>
  <c r="AD17" i="4"/>
  <c r="AE17" i="4"/>
  <c r="Y18" i="4"/>
  <c r="Z18" i="4"/>
  <c r="AA18" i="4"/>
  <c r="AC18" i="4"/>
  <c r="AD18" i="4"/>
  <c r="AE18" i="4"/>
  <c r="Y19" i="4"/>
  <c r="Z19" i="4"/>
  <c r="AA19" i="4"/>
  <c r="AC19" i="4"/>
  <c r="AD19" i="4"/>
  <c r="AE19" i="4"/>
  <c r="Y20" i="4"/>
  <c r="Z20" i="4"/>
  <c r="AA20" i="4"/>
  <c r="AC20" i="4"/>
  <c r="AD20" i="4"/>
  <c r="AE20" i="4"/>
  <c r="Y21" i="4"/>
  <c r="Z21" i="4"/>
  <c r="AA21" i="4"/>
  <c r="AC21" i="4"/>
  <c r="AD21" i="4"/>
  <c r="AE21" i="4"/>
  <c r="Y22" i="4"/>
  <c r="Z22" i="4"/>
  <c r="AA22" i="4"/>
  <c r="AC22" i="4"/>
  <c r="AD22" i="4"/>
  <c r="AE22" i="4"/>
  <c r="Y23" i="4"/>
  <c r="Z23" i="4"/>
  <c r="AA23" i="4"/>
  <c r="AC23" i="4"/>
  <c r="AD23" i="4"/>
  <c r="AE23" i="4"/>
  <c r="Y24" i="4"/>
  <c r="Z24" i="4"/>
  <c r="AA24" i="4"/>
  <c r="AC24" i="4"/>
  <c r="AD24" i="4"/>
  <c r="AE24" i="4"/>
  <c r="Y25" i="4"/>
  <c r="Z25" i="4"/>
  <c r="AA25" i="4"/>
  <c r="AC25" i="4"/>
  <c r="AD25" i="4"/>
  <c r="AE25" i="4"/>
  <c r="Y26" i="4"/>
  <c r="Z26" i="4"/>
  <c r="AA26" i="4"/>
  <c r="AC26" i="4"/>
  <c r="AD26" i="4"/>
  <c r="AE26" i="4"/>
  <c r="Y27" i="4"/>
  <c r="Z27" i="4"/>
  <c r="AA27" i="4"/>
  <c r="AC27" i="4"/>
  <c r="AD27" i="4"/>
  <c r="AE27" i="4"/>
  <c r="Y28" i="4"/>
  <c r="Z28" i="4"/>
  <c r="AA28" i="4"/>
  <c r="AC28" i="4"/>
  <c r="AD28" i="4"/>
  <c r="AE28" i="4"/>
  <c r="Y29" i="4"/>
  <c r="Z29" i="4"/>
  <c r="AA29" i="4"/>
  <c r="AC29" i="4"/>
  <c r="AD29" i="4"/>
  <c r="AE29" i="4"/>
  <c r="Y30" i="4"/>
  <c r="Z30" i="4"/>
  <c r="AA30" i="4"/>
  <c r="AC30" i="4"/>
  <c r="AD30" i="4"/>
  <c r="AE30" i="4"/>
  <c r="Y31" i="4"/>
  <c r="Z31" i="4"/>
  <c r="AA31" i="4"/>
  <c r="AC31" i="4"/>
  <c r="AD31" i="4"/>
  <c r="AE31" i="4"/>
  <c r="Y32" i="4"/>
  <c r="Z32" i="4"/>
  <c r="AA32" i="4"/>
  <c r="AC32" i="4"/>
  <c r="AD32" i="4"/>
  <c r="AE32" i="4"/>
  <c r="T33" i="4"/>
  <c r="U33" i="4"/>
  <c r="V33" i="4"/>
  <c r="W33" i="4"/>
  <c r="X33" i="4"/>
  <c r="AA33" i="4"/>
  <c r="AB33" i="4"/>
  <c r="AC33" i="4"/>
  <c r="Y33" i="4" l="1"/>
  <c r="AD33" i="4"/>
  <c r="Z33" i="4"/>
  <c r="AE33" i="4"/>
  <c r="C37" i="38"/>
  <c r="C40" i="38"/>
  <c r="B40" i="38"/>
  <c r="C39" i="38"/>
  <c r="C38" i="38"/>
  <c r="B38" i="38"/>
  <c r="B37" i="38"/>
  <c r="C36" i="38"/>
  <c r="B36" i="38"/>
  <c r="C35" i="38"/>
  <c r="B35" i="38"/>
  <c r="C34" i="38"/>
  <c r="B34" i="38"/>
  <c r="C33" i="38"/>
  <c r="B33" i="38"/>
  <c r="C32" i="38"/>
  <c r="B32" i="38"/>
  <c r="C31" i="38"/>
  <c r="C30" i="38"/>
  <c r="B30" i="38"/>
  <c r="C29" i="38"/>
  <c r="B29" i="38"/>
  <c r="C28" i="38"/>
  <c r="C27" i="38"/>
  <c r="C26" i="38"/>
  <c r="B26" i="38"/>
  <c r="C25" i="38"/>
  <c r="B25" i="38"/>
  <c r="B24" i="38"/>
  <c r="C23" i="38"/>
  <c r="B23" i="38"/>
  <c r="C22" i="38"/>
  <c r="B22" i="38"/>
  <c r="C21" i="38"/>
  <c r="B21" i="38"/>
  <c r="B20" i="38"/>
  <c r="C19" i="38"/>
  <c r="B19" i="38"/>
  <c r="C18" i="38"/>
  <c r="C17" i="38"/>
  <c r="B17" i="38"/>
  <c r="C16" i="38"/>
  <c r="B16" i="38"/>
  <c r="C15" i="38"/>
  <c r="B15" i="38"/>
  <c r="B14" i="38"/>
  <c r="C13" i="38"/>
  <c r="B13" i="38"/>
  <c r="I226" i="36"/>
  <c r="H226" i="36"/>
  <c r="G226" i="36"/>
  <c r="I222" i="36"/>
  <c r="H222" i="36"/>
  <c r="G222" i="36"/>
  <c r="G220" i="36"/>
  <c r="H220" i="36" s="1"/>
  <c r="I220" i="36" s="1"/>
  <c r="G219" i="36"/>
  <c r="H219" i="36" s="1"/>
  <c r="I219" i="36" s="1"/>
  <c r="G218" i="36"/>
  <c r="G216" i="36"/>
  <c r="G215" i="36"/>
  <c r="G213" i="36"/>
  <c r="G212" i="36"/>
  <c r="G209" i="36"/>
  <c r="G208" i="36"/>
  <c r="I208" i="36" s="1"/>
  <c r="G207" i="36"/>
  <c r="H207" i="36" s="1"/>
  <c r="G206" i="36"/>
  <c r="G203" i="36"/>
  <c r="G202" i="36"/>
  <c r="I202" i="36" s="1"/>
  <c r="G201" i="36"/>
  <c r="G197" i="36"/>
  <c r="G196" i="36"/>
  <c r="H196" i="36" s="1"/>
  <c r="I196" i="36" s="1"/>
  <c r="G195" i="36"/>
  <c r="G192" i="36"/>
  <c r="H192" i="36" s="1"/>
  <c r="I191" i="36"/>
  <c r="H191" i="36"/>
  <c r="G191" i="36"/>
  <c r="G190" i="36"/>
  <c r="H190" i="36" s="1"/>
  <c r="G189" i="36"/>
  <c r="H189" i="36" s="1"/>
  <c r="G186" i="36"/>
  <c r="G185" i="36" s="1"/>
  <c r="G183" i="36"/>
  <c r="H183" i="36" s="1"/>
  <c r="I183" i="36" s="1"/>
  <c r="G182" i="36"/>
  <c r="G180" i="36"/>
  <c r="G179" i="36"/>
  <c r="G178" i="36"/>
  <c r="G177" i="36"/>
  <c r="I175" i="36"/>
  <c r="H175" i="36"/>
  <c r="G175" i="36"/>
  <c r="G173" i="36"/>
  <c r="G170" i="36"/>
  <c r="H170" i="36" s="1"/>
  <c r="H169" i="36" s="1"/>
  <c r="H168" i="36" s="1"/>
  <c r="G166" i="36"/>
  <c r="H166" i="36" s="1"/>
  <c r="I166" i="36" s="1"/>
  <c r="G165" i="36"/>
  <c r="G163" i="36"/>
  <c r="H163" i="36" s="1"/>
  <c r="I163" i="36" s="1"/>
  <c r="G162" i="36"/>
  <c r="H162" i="36" s="1"/>
  <c r="I162" i="36" s="1"/>
  <c r="G161" i="36"/>
  <c r="H161" i="36" s="1"/>
  <c r="G159" i="36"/>
  <c r="H159" i="36" s="1"/>
  <c r="G158" i="36"/>
  <c r="H158" i="36" s="1"/>
  <c r="G157" i="36"/>
  <c r="G156" i="36"/>
  <c r="I156" i="36" s="1"/>
  <c r="G151" i="36"/>
  <c r="H151" i="36" s="1"/>
  <c r="I151" i="36" s="1"/>
  <c r="G150" i="36"/>
  <c r="H150" i="36" s="1"/>
  <c r="I150" i="36" s="1"/>
  <c r="G149" i="36"/>
  <c r="H149" i="36" s="1"/>
  <c r="I149" i="36" s="1"/>
  <c r="G147" i="36"/>
  <c r="I147" i="36" s="1"/>
  <c r="G146" i="36"/>
  <c r="H146" i="36" s="1"/>
  <c r="G145" i="36"/>
  <c r="I145" i="36" s="1"/>
  <c r="G142" i="36"/>
  <c r="G139" i="36"/>
  <c r="H139" i="36" s="1"/>
  <c r="I139" i="36" s="1"/>
  <c r="G138" i="36"/>
  <c r="H138" i="36" s="1"/>
  <c r="I138" i="36" s="1"/>
  <c r="I137" i="36"/>
  <c r="G137" i="36"/>
  <c r="G135" i="36"/>
  <c r="G134" i="36"/>
  <c r="I134" i="36" s="1"/>
  <c r="G133" i="36"/>
  <c r="I132" i="36"/>
  <c r="H132" i="36"/>
  <c r="G132" i="36"/>
  <c r="G129" i="36"/>
  <c r="H129" i="36" s="1"/>
  <c r="G128" i="36"/>
  <c r="I128" i="36" s="1"/>
  <c r="H126" i="36"/>
  <c r="H125" i="36" s="1"/>
  <c r="G126" i="36"/>
  <c r="G125" i="36" s="1"/>
  <c r="I125" i="36"/>
  <c r="G124" i="36"/>
  <c r="H124" i="36" s="1"/>
  <c r="I123" i="36"/>
  <c r="H123" i="36"/>
  <c r="G123" i="36"/>
  <c r="G122" i="36"/>
  <c r="H121" i="36"/>
  <c r="I121" i="36" s="1"/>
  <c r="G121" i="36"/>
  <c r="G119" i="36"/>
  <c r="G118" i="36" s="1"/>
  <c r="I118" i="36"/>
  <c r="H118" i="36"/>
  <c r="G116" i="36"/>
  <c r="I116" i="36" s="1"/>
  <c r="G115" i="36"/>
  <c r="G111" i="36"/>
  <c r="H111" i="36" s="1"/>
  <c r="I111" i="36" s="1"/>
  <c r="G110" i="36"/>
  <c r="G113" i="36" s="1"/>
  <c r="G109" i="36"/>
  <c r="H109" i="36" s="1"/>
  <c r="G103" i="36"/>
  <c r="H103" i="36" s="1"/>
  <c r="I103" i="36" s="1"/>
  <c r="G100" i="36"/>
  <c r="H100" i="36" s="1"/>
  <c r="I100" i="36" s="1"/>
  <c r="G99" i="36"/>
  <c r="H99" i="36" s="1"/>
  <c r="I99" i="36" s="1"/>
  <c r="G98" i="36"/>
  <c r="G96" i="36"/>
  <c r="H96" i="36" s="1"/>
  <c r="I96" i="36" s="1"/>
  <c r="G95" i="36"/>
  <c r="H95" i="36" s="1"/>
  <c r="I95" i="36" s="1"/>
  <c r="I94" i="36"/>
  <c r="H94" i="36"/>
  <c r="G94" i="36"/>
  <c r="G91" i="36"/>
  <c r="G90" i="36"/>
  <c r="H90" i="36" s="1"/>
  <c r="I90" i="36" s="1"/>
  <c r="G89" i="36"/>
  <c r="H89" i="36" s="1"/>
  <c r="I89" i="36" s="1"/>
  <c r="G88" i="36"/>
  <c r="H88" i="36" s="1"/>
  <c r="G84" i="36"/>
  <c r="H84" i="36" s="1"/>
  <c r="G82" i="36"/>
  <c r="I82" i="36" s="1"/>
  <c r="G81" i="36"/>
  <c r="I81" i="36" s="1"/>
  <c r="G79" i="36"/>
  <c r="H79" i="36" s="1"/>
  <c r="G78" i="36"/>
  <c r="G77" i="36"/>
  <c r="G76" i="36"/>
  <c r="I75" i="36"/>
  <c r="H75" i="36"/>
  <c r="G73" i="36"/>
  <c r="G72" i="36"/>
  <c r="I72" i="36" s="1"/>
  <c r="G68" i="36"/>
  <c r="H68" i="36" s="1"/>
  <c r="I68" i="36" s="1"/>
  <c r="G67" i="36"/>
  <c r="G64" i="36"/>
  <c r="G63" i="36"/>
  <c r="I63" i="36" s="1"/>
  <c r="G62" i="36"/>
  <c r="H62" i="36" s="1"/>
  <c r="G61" i="36"/>
  <c r="G59" i="36"/>
  <c r="H59" i="36" s="1"/>
  <c r="G58" i="36"/>
  <c r="G56" i="36"/>
  <c r="H56" i="36" s="1"/>
  <c r="I56" i="36" s="1"/>
  <c r="G55" i="36"/>
  <c r="H55" i="36" s="1"/>
  <c r="I55" i="36" s="1"/>
  <c r="G53" i="36"/>
  <c r="G52" i="36"/>
  <c r="H52" i="36" s="1"/>
  <c r="I52" i="36" s="1"/>
  <c r="G50" i="36"/>
  <c r="H50" i="36" s="1"/>
  <c r="G49" i="36"/>
  <c r="G48" i="36"/>
  <c r="G47" i="36"/>
  <c r="I47" i="36" s="1"/>
  <c r="I43" i="36"/>
  <c r="H43" i="36"/>
  <c r="G43" i="36"/>
  <c r="G41" i="36"/>
  <c r="G38" i="36"/>
  <c r="G37" i="36"/>
  <c r="H37" i="36" s="1"/>
  <c r="I37" i="36" s="1"/>
  <c r="G36" i="36"/>
  <c r="G34" i="36"/>
  <c r="H34" i="36" s="1"/>
  <c r="I34" i="36" s="1"/>
  <c r="G33" i="36"/>
  <c r="H33" i="36" s="1"/>
  <c r="I33" i="36" s="1"/>
  <c r="G32" i="36"/>
  <c r="I28" i="36"/>
  <c r="I27" i="36" s="1"/>
  <c r="H28" i="36"/>
  <c r="H27" i="36" s="1"/>
  <c r="G28" i="36"/>
  <c r="G27" i="36" s="1"/>
  <c r="G26" i="36"/>
  <c r="H26" i="36" s="1"/>
  <c r="I26" i="36" s="1"/>
  <c r="G25" i="36"/>
  <c r="H25" i="36" s="1"/>
  <c r="I25" i="36" s="1"/>
  <c r="G24" i="36"/>
  <c r="G21" i="36"/>
  <c r="H21" i="36" s="1"/>
  <c r="I21" i="36" s="1"/>
  <c r="G20" i="36"/>
  <c r="H20" i="36" s="1"/>
  <c r="G17" i="36"/>
  <c r="H17" i="36" s="1"/>
  <c r="G16" i="36"/>
  <c r="I16" i="36" s="1"/>
  <c r="F64" i="35"/>
  <c r="E64" i="35"/>
  <c r="F62" i="35"/>
  <c r="F61" i="35" s="1"/>
  <c r="E62" i="35"/>
  <c r="E61" i="35" s="1"/>
  <c r="D62" i="35"/>
  <c r="D61" i="35" s="1"/>
  <c r="F60" i="35"/>
  <c r="E60" i="35"/>
  <c r="D60" i="35"/>
  <c r="F59" i="35"/>
  <c r="E59" i="35"/>
  <c r="D59" i="35"/>
  <c r="D58" i="35" s="1"/>
  <c r="F57" i="35"/>
  <c r="E57" i="35"/>
  <c r="D57" i="35"/>
  <c r="F55" i="35"/>
  <c r="E55" i="35"/>
  <c r="D55" i="35"/>
  <c r="F53" i="35"/>
  <c r="E53" i="35"/>
  <c r="D53" i="35"/>
  <c r="F52" i="35"/>
  <c r="E52" i="35"/>
  <c r="D52" i="35"/>
  <c r="F51" i="35"/>
  <c r="E51" i="35"/>
  <c r="D51" i="35"/>
  <c r="F49" i="35"/>
  <c r="E49" i="35"/>
  <c r="D49" i="35"/>
  <c r="F46" i="35"/>
  <c r="F45" i="35" s="1"/>
  <c r="E46" i="35"/>
  <c r="E45" i="35" s="1"/>
  <c r="D46" i="35"/>
  <c r="D45" i="35" s="1"/>
  <c r="F44" i="35"/>
  <c r="E44" i="35"/>
  <c r="D44" i="35"/>
  <c r="F43" i="35"/>
  <c r="E43" i="35"/>
  <c r="D43" i="35"/>
  <c r="D42" i="35"/>
  <c r="E42" i="35" s="1"/>
  <c r="F42" i="35" s="1"/>
  <c r="F41" i="35"/>
  <c r="E41" i="35"/>
  <c r="D41" i="35"/>
  <c r="F40" i="35"/>
  <c r="E40" i="35"/>
  <c r="D40" i="35"/>
  <c r="D38" i="35"/>
  <c r="F37" i="35"/>
  <c r="F34" i="35" s="1"/>
  <c r="E37" i="35"/>
  <c r="E34" i="35" s="1"/>
  <c r="D37" i="35"/>
  <c r="D36" i="35"/>
  <c r="D35" i="35"/>
  <c r="F32" i="35"/>
  <c r="E32" i="35"/>
  <c r="E28" i="35" s="1"/>
  <c r="D32" i="35"/>
  <c r="F30" i="35"/>
  <c r="E30" i="35"/>
  <c r="D30" i="35"/>
  <c r="F29" i="35"/>
  <c r="E29" i="35"/>
  <c r="D29" i="35"/>
  <c r="F26" i="35"/>
  <c r="E26" i="35"/>
  <c r="D26" i="35"/>
  <c r="F25" i="35"/>
  <c r="E25" i="35"/>
  <c r="D25" i="35"/>
  <c r="F20" i="35"/>
  <c r="E20" i="35"/>
  <c r="D20" i="35"/>
  <c r="F19" i="35"/>
  <c r="E19" i="35"/>
  <c r="D19" i="35"/>
  <c r="F17" i="35"/>
  <c r="E17" i="35"/>
  <c r="D17" i="35"/>
  <c r="F16" i="35"/>
  <c r="E16" i="35"/>
  <c r="D16" i="35"/>
  <c r="F15" i="35"/>
  <c r="E15" i="35"/>
  <c r="D15" i="35"/>
  <c r="F14" i="35"/>
  <c r="E14" i="35"/>
  <c r="D14" i="35"/>
  <c r="D13" i="35"/>
  <c r="F13" i="35" s="1"/>
  <c r="E61" i="3"/>
  <c r="F60" i="3"/>
  <c r="G55" i="3"/>
  <c r="F55" i="3"/>
  <c r="E55" i="3"/>
  <c r="G37" i="3"/>
  <c r="F37" i="3"/>
  <c r="E37" i="3"/>
  <c r="G32" i="3"/>
  <c r="F32" i="3"/>
  <c r="E32" i="3"/>
  <c r="G26" i="3"/>
  <c r="F26" i="3"/>
  <c r="E26" i="3"/>
  <c r="G18" i="3"/>
  <c r="G25" i="3" s="1"/>
  <c r="F18" i="3"/>
  <c r="F25" i="3" s="1"/>
  <c r="E18" i="3"/>
  <c r="E25" i="3" s="1"/>
  <c r="F48" i="35" l="1"/>
  <c r="I158" i="36"/>
  <c r="G75" i="36"/>
  <c r="I79" i="36"/>
  <c r="E57" i="3"/>
  <c r="D34" i="35"/>
  <c r="I50" i="36"/>
  <c r="G66" i="36"/>
  <c r="I80" i="36"/>
  <c r="F57" i="3"/>
  <c r="G19" i="36"/>
  <c r="G18" i="36" s="1"/>
  <c r="H18" i="36" s="1"/>
  <c r="E23" i="35"/>
  <c r="G57" i="3"/>
  <c r="G23" i="36"/>
  <c r="G22" i="36" s="1"/>
  <c r="D48" i="35"/>
  <c r="G15" i="36"/>
  <c r="G14" i="36" s="1"/>
  <c r="F28" i="35"/>
  <c r="G114" i="36"/>
  <c r="I170" i="36"/>
  <c r="I169" i="36" s="1"/>
  <c r="I168" i="36" s="1"/>
  <c r="D39" i="35"/>
  <c r="I62" i="36"/>
  <c r="I124" i="36"/>
  <c r="E54" i="35"/>
  <c r="F58" i="35"/>
  <c r="I17" i="36"/>
  <c r="I15" i="36" s="1"/>
  <c r="I14" i="36" s="1"/>
  <c r="G155" i="36"/>
  <c r="G169" i="36"/>
  <c r="G168" i="36" s="1"/>
  <c r="G194" i="36"/>
  <c r="G193" i="36" s="1"/>
  <c r="H64" i="36"/>
  <c r="I64" i="36"/>
  <c r="I88" i="36"/>
  <c r="I87" i="36" s="1"/>
  <c r="I86" i="36" s="1"/>
  <c r="H87" i="36"/>
  <c r="H86" i="36" s="1"/>
  <c r="I189" i="36"/>
  <c r="H188" i="36"/>
  <c r="F23" i="35"/>
  <c r="I49" i="36"/>
  <c r="H49" i="36"/>
  <c r="H53" i="36"/>
  <c r="I53" i="36" s="1"/>
  <c r="G51" i="36"/>
  <c r="I51" i="36" s="1"/>
  <c r="I59" i="36"/>
  <c r="I57" i="36" s="1"/>
  <c r="H57" i="36"/>
  <c r="I93" i="36"/>
  <c r="I92" i="36" s="1"/>
  <c r="I148" i="36"/>
  <c r="H160" i="36"/>
  <c r="E39" i="35"/>
  <c r="F54" i="35"/>
  <c r="H134" i="36"/>
  <c r="H145" i="36"/>
  <c r="H147" i="36"/>
  <c r="I192" i="36"/>
  <c r="H208" i="36"/>
  <c r="D28" i="35"/>
  <c r="F39" i="35"/>
  <c r="H47" i="36"/>
  <c r="H63" i="36"/>
  <c r="H72" i="36"/>
  <c r="G148" i="36"/>
  <c r="C24" i="38"/>
  <c r="F12" i="35"/>
  <c r="D23" i="35"/>
  <c r="E48" i="35"/>
  <c r="D54" i="35"/>
  <c r="E58" i="35"/>
  <c r="G57" i="36"/>
  <c r="G108" i="36"/>
  <c r="H116" i="36"/>
  <c r="G136" i="36"/>
  <c r="G160" i="36"/>
  <c r="I20" i="36"/>
  <c r="I19" i="36" s="1"/>
  <c r="H19" i="36"/>
  <c r="G40" i="36"/>
  <c r="H41" i="36"/>
  <c r="I41" i="36" s="1"/>
  <c r="I61" i="36"/>
  <c r="G60" i="36"/>
  <c r="H73" i="36"/>
  <c r="G71" i="36"/>
  <c r="G70" i="36" s="1"/>
  <c r="I109" i="36"/>
  <c r="I108" i="36" s="1"/>
  <c r="H108" i="36"/>
  <c r="H133" i="36"/>
  <c r="G131" i="36"/>
  <c r="G130" i="36" s="1"/>
  <c r="I133" i="36"/>
  <c r="I131" i="36" s="1"/>
  <c r="G172" i="36"/>
  <c r="G171" i="36" s="1"/>
  <c r="H173" i="36"/>
  <c r="G181" i="36"/>
  <c r="H182" i="36"/>
  <c r="I182" i="36" s="1"/>
  <c r="H24" i="36"/>
  <c r="H36" i="36"/>
  <c r="G35" i="36"/>
  <c r="I48" i="36"/>
  <c r="H48" i="36"/>
  <c r="H61" i="36"/>
  <c r="I73" i="36"/>
  <c r="I71" i="36" s="1"/>
  <c r="I70" i="36" s="1"/>
  <c r="G93" i="36"/>
  <c r="G92" i="36" s="1"/>
  <c r="H113" i="36"/>
  <c r="I113" i="36"/>
  <c r="H201" i="36"/>
  <c r="G200" i="36"/>
  <c r="I201" i="36"/>
  <c r="H32" i="36"/>
  <c r="G31" i="36"/>
  <c r="G46" i="36"/>
  <c r="G54" i="36"/>
  <c r="H67" i="36"/>
  <c r="I84" i="36"/>
  <c r="G97" i="36"/>
  <c r="H98" i="36"/>
  <c r="H110" i="36"/>
  <c r="G127" i="36"/>
  <c r="G120" i="36" s="1"/>
  <c r="G117" i="36" s="1"/>
  <c r="I122" i="36"/>
  <c r="I161" i="36"/>
  <c r="I160" i="36" s="1"/>
  <c r="I165" i="36"/>
  <c r="I164" i="36" s="1"/>
  <c r="G164" i="36"/>
  <c r="H165" i="36"/>
  <c r="H164" i="36" s="1"/>
  <c r="H16" i="36"/>
  <c r="H15" i="36" s="1"/>
  <c r="H14" i="36" s="1"/>
  <c r="I78" i="36"/>
  <c r="H78" i="36"/>
  <c r="H81" i="36"/>
  <c r="G80" i="36"/>
  <c r="G74" i="36" s="1"/>
  <c r="G87" i="36"/>
  <c r="H93" i="36"/>
  <c r="H92" i="36" s="1"/>
  <c r="H115" i="36"/>
  <c r="I115" i="36"/>
  <c r="H122" i="36"/>
  <c r="H128" i="36"/>
  <c r="I157" i="36"/>
  <c r="H157" i="36"/>
  <c r="I203" i="36"/>
  <c r="H203" i="36"/>
  <c r="I136" i="36"/>
  <c r="H206" i="36"/>
  <c r="G205" i="36"/>
  <c r="I146" i="36"/>
  <c r="I144" i="36" s="1"/>
  <c r="H148" i="36"/>
  <c r="H186" i="36"/>
  <c r="I190" i="36"/>
  <c r="H195" i="36"/>
  <c r="I206" i="36"/>
  <c r="I205" i="36" s="1"/>
  <c r="H82" i="36"/>
  <c r="H136" i="36"/>
  <c r="H142" i="36"/>
  <c r="G141" i="36"/>
  <c r="G140" i="36" s="1"/>
  <c r="G144" i="36"/>
  <c r="H156" i="36"/>
  <c r="I159" i="36"/>
  <c r="G188" i="36"/>
  <c r="H202" i="36"/>
  <c r="D12" i="35"/>
  <c r="E13" i="35"/>
  <c r="E12" i="35" s="1"/>
  <c r="E62" i="3"/>
  <c r="E60" i="3"/>
  <c r="C15" i="14"/>
  <c r="C14" i="14"/>
  <c r="C13" i="14"/>
  <c r="C12" i="14"/>
  <c r="D12" i="14" s="1"/>
  <c r="E12" i="14" s="1"/>
  <c r="C11" i="14"/>
  <c r="I120" i="36" l="1"/>
  <c r="I117" i="36" s="1"/>
  <c r="I74" i="36"/>
  <c r="I60" i="36"/>
  <c r="I18" i="36"/>
  <c r="G107" i="36"/>
  <c r="H71" i="36"/>
  <c r="H70" i="36" s="1"/>
  <c r="H205" i="36"/>
  <c r="H60" i="36"/>
  <c r="H51" i="36"/>
  <c r="G143" i="36"/>
  <c r="G184" i="36"/>
  <c r="I83" i="36"/>
  <c r="G154" i="36"/>
  <c r="G153" i="36" s="1"/>
  <c r="I188" i="36"/>
  <c r="H155" i="36"/>
  <c r="H154" i="36" s="1"/>
  <c r="H153" i="36" s="1"/>
  <c r="H80" i="36"/>
  <c r="H74" i="36" s="1"/>
  <c r="G42" i="36"/>
  <c r="G198" i="36"/>
  <c r="H46" i="36"/>
  <c r="H120" i="36"/>
  <c r="H117" i="36" s="1"/>
  <c r="H83" i="36"/>
  <c r="H200" i="36"/>
  <c r="H198" i="36" s="1"/>
  <c r="I46" i="36"/>
  <c r="H131" i="36"/>
  <c r="H130" i="36" s="1"/>
  <c r="I143" i="36"/>
  <c r="I69" i="36"/>
  <c r="G167" i="36"/>
  <c r="H144" i="36"/>
  <c r="H143" i="36" s="1"/>
  <c r="H141" i="36"/>
  <c r="H140" i="36" s="1"/>
  <c r="I142" i="36"/>
  <c r="I141" i="36" s="1"/>
  <c r="I140" i="36" s="1"/>
  <c r="I195" i="36"/>
  <c r="I194" i="36" s="1"/>
  <c r="I193" i="36" s="1"/>
  <c r="H194" i="36"/>
  <c r="H193" i="36" s="1"/>
  <c r="H172" i="36"/>
  <c r="H171" i="36" s="1"/>
  <c r="I173" i="36"/>
  <c r="I172" i="36" s="1"/>
  <c r="I171" i="36" s="1"/>
  <c r="I98" i="36"/>
  <c r="I97" i="36" s="1"/>
  <c r="H97" i="36"/>
  <c r="G29" i="36"/>
  <c r="I36" i="36"/>
  <c r="I35" i="36" s="1"/>
  <c r="H35" i="36"/>
  <c r="H40" i="36"/>
  <c r="G39" i="36"/>
  <c r="I186" i="36"/>
  <c r="I185" i="36" s="1"/>
  <c r="H185" i="36"/>
  <c r="I155" i="36"/>
  <c r="I154" i="36" s="1"/>
  <c r="I153" i="36" s="1"/>
  <c r="H66" i="36"/>
  <c r="I67" i="36"/>
  <c r="I66" i="36" s="1"/>
  <c r="I32" i="36"/>
  <c r="I31" i="36" s="1"/>
  <c r="H31" i="36"/>
  <c r="I24" i="36"/>
  <c r="I23" i="36" s="1"/>
  <c r="I22" i="36" s="1"/>
  <c r="H23" i="36"/>
  <c r="H22" i="36" s="1"/>
  <c r="I130" i="36"/>
  <c r="G86" i="36"/>
  <c r="G83" i="36"/>
  <c r="I110" i="36"/>
  <c r="I107" i="36" s="1"/>
  <c r="H107" i="36"/>
  <c r="H54" i="36"/>
  <c r="I54" i="36"/>
  <c r="I200" i="36"/>
  <c r="I198" i="36" s="1"/>
  <c r="H181" i="36"/>
  <c r="I181" i="36"/>
  <c r="G69" i="36"/>
  <c r="C16" i="14"/>
  <c r="D11" i="14"/>
  <c r="G106" i="36" l="1"/>
  <c r="H69" i="36"/>
  <c r="H184" i="36"/>
  <c r="H42" i="36"/>
  <c r="I42" i="36"/>
  <c r="I184" i="36"/>
  <c r="H106" i="36"/>
  <c r="H29" i="36"/>
  <c r="G13" i="36"/>
  <c r="I167" i="36"/>
  <c r="I106" i="36"/>
  <c r="I29" i="36"/>
  <c r="I40" i="36"/>
  <c r="I39" i="36" s="1"/>
  <c r="H39" i="36"/>
  <c r="H167" i="36"/>
  <c r="D16" i="14"/>
  <c r="E11" i="14"/>
  <c r="E16" i="14" s="1"/>
  <c r="I13" i="36" l="1"/>
  <c r="H13" i="36"/>
  <c r="C38" i="26"/>
  <c r="C36" i="26"/>
  <c r="C34" i="26"/>
  <c r="C33" i="26"/>
  <c r="C32" i="26"/>
  <c r="C31" i="26"/>
  <c r="C30" i="26"/>
  <c r="C29" i="26"/>
  <c r="C26" i="26"/>
  <c r="C25" i="26"/>
  <c r="C22" i="26"/>
  <c r="C21" i="26"/>
  <c r="C18" i="26"/>
  <c r="C17" i="26"/>
  <c r="C14" i="26"/>
  <c r="C13" i="26"/>
  <c r="C16" i="21"/>
  <c r="C14" i="21"/>
  <c r="C13" i="21"/>
  <c r="B13" i="21"/>
  <c r="G21" i="20"/>
  <c r="G14" i="20"/>
  <c r="G12" i="20" s="1"/>
  <c r="E16" i="13"/>
  <c r="D16" i="13"/>
  <c r="C15" i="13"/>
  <c r="D15" i="13" s="1"/>
  <c r="F43" i="34"/>
  <c r="E43" i="34"/>
  <c r="C43" i="34"/>
  <c r="B43" i="34"/>
  <c r="F42" i="34"/>
  <c r="E42" i="34"/>
  <c r="C42" i="34"/>
  <c r="B42" i="34"/>
  <c r="F41" i="34"/>
  <c r="E41" i="34"/>
  <c r="C41" i="34"/>
  <c r="B41" i="34"/>
  <c r="F40" i="34"/>
  <c r="E40" i="34"/>
  <c r="C40" i="34"/>
  <c r="B40" i="34"/>
  <c r="J39" i="34"/>
  <c r="F39" i="34"/>
  <c r="E39" i="34"/>
  <c r="C39" i="34"/>
  <c r="B39" i="34"/>
  <c r="F38" i="34"/>
  <c r="E38" i="34"/>
  <c r="C38" i="34"/>
  <c r="B38" i="34"/>
  <c r="F37" i="34"/>
  <c r="E37" i="34"/>
  <c r="C37" i="34"/>
  <c r="B37" i="34"/>
  <c r="F36" i="34"/>
  <c r="E36" i="34"/>
  <c r="C36" i="34"/>
  <c r="B36" i="34"/>
  <c r="F35" i="34"/>
  <c r="E35" i="34"/>
  <c r="C35" i="34"/>
  <c r="B35" i="34"/>
  <c r="F34" i="34"/>
  <c r="E34" i="34"/>
  <c r="C34" i="34"/>
  <c r="B34" i="34"/>
  <c r="F33" i="34"/>
  <c r="E33" i="34"/>
  <c r="C33" i="34"/>
  <c r="B33" i="34"/>
  <c r="F32" i="34"/>
  <c r="E32" i="34"/>
  <c r="C32" i="34"/>
  <c r="B32" i="34"/>
  <c r="F31" i="34"/>
  <c r="E31" i="34"/>
  <c r="C31" i="34"/>
  <c r="B31" i="34"/>
  <c r="F30" i="34"/>
  <c r="E30" i="34"/>
  <c r="C30" i="34"/>
  <c r="B30" i="34"/>
  <c r="F29" i="34"/>
  <c r="E29" i="34"/>
  <c r="C29" i="34"/>
  <c r="B29" i="34"/>
  <c r="F28" i="34"/>
  <c r="E28" i="34"/>
  <c r="C28" i="34"/>
  <c r="B28" i="34"/>
  <c r="F27" i="34"/>
  <c r="E27" i="34"/>
  <c r="C27" i="34"/>
  <c r="B27" i="34"/>
  <c r="F26" i="34"/>
  <c r="E26" i="34"/>
  <c r="C26" i="34"/>
  <c r="B26" i="34"/>
  <c r="F25" i="34"/>
  <c r="E25" i="34"/>
  <c r="C25" i="34"/>
  <c r="B25" i="34"/>
  <c r="F24" i="34"/>
  <c r="E24" i="34"/>
  <c r="C24" i="34"/>
  <c r="B24" i="34"/>
  <c r="F23" i="34"/>
  <c r="E23" i="34"/>
  <c r="C23" i="34"/>
  <c r="B23" i="34"/>
  <c r="F22" i="34"/>
  <c r="E22" i="34"/>
  <c r="C22" i="34"/>
  <c r="B22" i="34"/>
  <c r="F21" i="34"/>
  <c r="E21" i="34"/>
  <c r="C21" i="34"/>
  <c r="B21" i="34"/>
  <c r="F20" i="34"/>
  <c r="E20" i="34"/>
  <c r="C20" i="34"/>
  <c r="B20" i="34"/>
  <c r="F19" i="34"/>
  <c r="E19" i="34"/>
  <c r="C19" i="34"/>
  <c r="B19" i="34"/>
  <c r="F18" i="34"/>
  <c r="E18" i="34"/>
  <c r="C18" i="34"/>
  <c r="B18" i="34"/>
  <c r="F17" i="34"/>
  <c r="E17" i="34"/>
  <c r="C17" i="34"/>
  <c r="B17" i="34"/>
  <c r="F16" i="34"/>
  <c r="E16" i="34"/>
  <c r="C16" i="34"/>
  <c r="B16" i="34"/>
  <c r="F15" i="34"/>
  <c r="E15" i="34"/>
  <c r="C15" i="34"/>
  <c r="B15" i="34"/>
  <c r="F14" i="34"/>
  <c r="E14" i="34"/>
  <c r="C14" i="34"/>
  <c r="B14" i="34"/>
  <c r="F13" i="34"/>
  <c r="E13" i="34"/>
  <c r="C13" i="34"/>
  <c r="B13" i="34"/>
  <c r="D50" i="11"/>
  <c r="D41" i="11"/>
  <c r="E41" i="11" s="1"/>
  <c r="C41" i="11"/>
  <c r="B41" i="11"/>
  <c r="D40" i="11"/>
  <c r="F40" i="11" s="1"/>
  <c r="C40" i="11"/>
  <c r="B40" i="11"/>
  <c r="D39" i="11"/>
  <c r="F39" i="11" s="1"/>
  <c r="C39" i="11"/>
  <c r="B39" i="11"/>
  <c r="D38" i="11"/>
  <c r="F38" i="11" s="1"/>
  <c r="C38" i="11"/>
  <c r="B38" i="11"/>
  <c r="D37" i="11"/>
  <c r="E37" i="11" s="1"/>
  <c r="C37" i="11"/>
  <c r="B37" i="11"/>
  <c r="D36" i="11"/>
  <c r="F36" i="11" s="1"/>
  <c r="C36" i="11"/>
  <c r="B36" i="11"/>
  <c r="D35" i="11"/>
  <c r="F35" i="11" s="1"/>
  <c r="C35" i="11"/>
  <c r="B35" i="11"/>
  <c r="D34" i="11"/>
  <c r="F34" i="11" s="1"/>
  <c r="C34" i="11"/>
  <c r="B34" i="11"/>
  <c r="D33" i="11"/>
  <c r="E33" i="11" s="1"/>
  <c r="C33" i="11"/>
  <c r="B33" i="11"/>
  <c r="D32" i="11"/>
  <c r="F32" i="11" s="1"/>
  <c r="C32" i="11"/>
  <c r="B32" i="11"/>
  <c r="D31" i="11"/>
  <c r="F31" i="11" s="1"/>
  <c r="C31" i="11"/>
  <c r="B31" i="11"/>
  <c r="D30" i="11"/>
  <c r="F30" i="11" s="1"/>
  <c r="C30" i="11"/>
  <c r="B30" i="11"/>
  <c r="D29" i="11"/>
  <c r="E29" i="11" s="1"/>
  <c r="C29" i="11"/>
  <c r="B29" i="11"/>
  <c r="D28" i="11"/>
  <c r="F28" i="11" s="1"/>
  <c r="C28" i="11"/>
  <c r="B28" i="11"/>
  <c r="D27" i="11"/>
  <c r="F27" i="11" s="1"/>
  <c r="C27" i="11"/>
  <c r="B27" i="11"/>
  <c r="D26" i="11"/>
  <c r="F26" i="11" s="1"/>
  <c r="C26" i="11"/>
  <c r="B26" i="11"/>
  <c r="D25" i="11"/>
  <c r="E25" i="11" s="1"/>
  <c r="C25" i="11"/>
  <c r="B25" i="11"/>
  <c r="D24" i="11"/>
  <c r="F24" i="11" s="1"/>
  <c r="C24" i="11"/>
  <c r="B24" i="11"/>
  <c r="D23" i="11"/>
  <c r="F23" i="11" s="1"/>
  <c r="C23" i="11"/>
  <c r="B23" i="11"/>
  <c r="D22" i="11"/>
  <c r="F22" i="11" s="1"/>
  <c r="C22" i="11"/>
  <c r="B22" i="11"/>
  <c r="D21" i="11"/>
  <c r="E21" i="11" s="1"/>
  <c r="C21" i="11"/>
  <c r="B21" i="11"/>
  <c r="D20" i="11"/>
  <c r="F20" i="11" s="1"/>
  <c r="C20" i="11"/>
  <c r="B20" i="11"/>
  <c r="D19" i="11"/>
  <c r="F19" i="11" s="1"/>
  <c r="C19" i="11"/>
  <c r="B19" i="11"/>
  <c r="D18" i="11"/>
  <c r="F18" i="11" s="1"/>
  <c r="C18" i="11"/>
  <c r="B18" i="11"/>
  <c r="D17" i="11"/>
  <c r="E17" i="11" s="1"/>
  <c r="C17" i="11"/>
  <c r="B17" i="11"/>
  <c r="D16" i="11"/>
  <c r="F16" i="11" s="1"/>
  <c r="C16" i="11"/>
  <c r="B16" i="11"/>
  <c r="D15" i="11"/>
  <c r="F15" i="11" s="1"/>
  <c r="C15" i="11"/>
  <c r="B15" i="11"/>
  <c r="D14" i="11"/>
  <c r="F14" i="11" s="1"/>
  <c r="C14" i="11"/>
  <c r="B14" i="11"/>
  <c r="D13" i="11"/>
  <c r="E13" i="11" s="1"/>
  <c r="C13" i="11"/>
  <c r="B13" i="11"/>
  <c r="D12" i="11"/>
  <c r="F12" i="11" s="1"/>
  <c r="C12" i="11"/>
  <c r="B12" i="11"/>
  <c r="D11" i="11"/>
  <c r="C11" i="11"/>
  <c r="B11" i="11"/>
  <c r="D51" i="30"/>
  <c r="F42" i="30"/>
  <c r="E42" i="30"/>
  <c r="D42" i="30"/>
  <c r="C42" i="30"/>
  <c r="B42" i="30"/>
  <c r="F41" i="30"/>
  <c r="E41" i="30"/>
  <c r="D41" i="30"/>
  <c r="C41" i="30"/>
  <c r="B41" i="30"/>
  <c r="F40" i="30"/>
  <c r="E40" i="30"/>
  <c r="D40" i="30"/>
  <c r="C40" i="30"/>
  <c r="B40" i="30"/>
  <c r="F39" i="30"/>
  <c r="E39" i="30"/>
  <c r="D39" i="30"/>
  <c r="C39" i="30"/>
  <c r="B39" i="30"/>
  <c r="F38" i="30"/>
  <c r="E38" i="30"/>
  <c r="D38" i="30"/>
  <c r="C38" i="30"/>
  <c r="B38" i="30"/>
  <c r="F37" i="30"/>
  <c r="E37" i="30"/>
  <c r="D37" i="30"/>
  <c r="C37" i="30"/>
  <c r="B37" i="30"/>
  <c r="F36" i="30"/>
  <c r="E36" i="30"/>
  <c r="D36" i="30"/>
  <c r="C36" i="30"/>
  <c r="B36" i="30"/>
  <c r="F35" i="30"/>
  <c r="E35" i="30"/>
  <c r="D35" i="30"/>
  <c r="C35" i="30"/>
  <c r="B35" i="30"/>
  <c r="F34" i="30"/>
  <c r="E34" i="30"/>
  <c r="D34" i="30"/>
  <c r="C34" i="30"/>
  <c r="B34" i="30"/>
  <c r="F33" i="30"/>
  <c r="E33" i="30"/>
  <c r="D33" i="30"/>
  <c r="C33" i="30"/>
  <c r="B33" i="30"/>
  <c r="F32" i="30"/>
  <c r="E32" i="30"/>
  <c r="D32" i="30"/>
  <c r="C32" i="30"/>
  <c r="B32" i="30"/>
  <c r="F31" i="30"/>
  <c r="E31" i="30"/>
  <c r="D31" i="30"/>
  <c r="C31" i="30"/>
  <c r="B31" i="30"/>
  <c r="F30" i="30"/>
  <c r="E30" i="30"/>
  <c r="D30" i="30"/>
  <c r="C30" i="30"/>
  <c r="B30" i="30"/>
  <c r="F29" i="30"/>
  <c r="E29" i="30"/>
  <c r="D29" i="30"/>
  <c r="C29" i="30"/>
  <c r="B29" i="30"/>
  <c r="F28" i="30"/>
  <c r="E28" i="30"/>
  <c r="D28" i="30"/>
  <c r="C28" i="30"/>
  <c r="B28" i="30"/>
  <c r="F27" i="30"/>
  <c r="E27" i="30"/>
  <c r="D27" i="30"/>
  <c r="C27" i="30"/>
  <c r="B27" i="30"/>
  <c r="F26" i="30"/>
  <c r="E26" i="30"/>
  <c r="D26" i="30"/>
  <c r="C26" i="30"/>
  <c r="B26" i="30"/>
  <c r="F25" i="30"/>
  <c r="E25" i="30"/>
  <c r="D25" i="30"/>
  <c r="C25" i="30"/>
  <c r="B25" i="30"/>
  <c r="F24" i="30"/>
  <c r="E24" i="30"/>
  <c r="D24" i="30"/>
  <c r="C24" i="30"/>
  <c r="B24" i="30"/>
  <c r="F23" i="30"/>
  <c r="E23" i="30"/>
  <c r="D23" i="30"/>
  <c r="C23" i="30"/>
  <c r="B23" i="30"/>
  <c r="F22" i="30"/>
  <c r="E22" i="30"/>
  <c r="D22" i="30"/>
  <c r="C22" i="30"/>
  <c r="B22" i="30"/>
  <c r="F21" i="30"/>
  <c r="E21" i="30"/>
  <c r="D21" i="30"/>
  <c r="C21" i="30"/>
  <c r="B21" i="30"/>
  <c r="F20" i="30"/>
  <c r="E20" i="30"/>
  <c r="D20" i="30"/>
  <c r="C20" i="30"/>
  <c r="B20" i="30"/>
  <c r="F19" i="30"/>
  <c r="E19" i="30"/>
  <c r="D19" i="30"/>
  <c r="C19" i="30"/>
  <c r="B19" i="30"/>
  <c r="F18" i="30"/>
  <c r="E18" i="30"/>
  <c r="D18" i="30"/>
  <c r="C18" i="30"/>
  <c r="B18" i="30"/>
  <c r="F17" i="30"/>
  <c r="E17" i="30"/>
  <c r="D17" i="30"/>
  <c r="C17" i="30"/>
  <c r="B17" i="30"/>
  <c r="F16" i="30"/>
  <c r="E16" i="30"/>
  <c r="D16" i="30"/>
  <c r="C16" i="30"/>
  <c r="B16" i="30"/>
  <c r="F15" i="30"/>
  <c r="E15" i="30"/>
  <c r="D15" i="30"/>
  <c r="C15" i="30"/>
  <c r="B15" i="30"/>
  <c r="F14" i="30"/>
  <c r="E14" i="30"/>
  <c r="D14" i="30"/>
  <c r="C14" i="30"/>
  <c r="B14" i="30"/>
  <c r="F13" i="30"/>
  <c r="E13" i="30"/>
  <c r="D13" i="30"/>
  <c r="C13" i="30"/>
  <c r="B13" i="30"/>
  <c r="F12" i="30"/>
  <c r="E12" i="30"/>
  <c r="D12" i="30"/>
  <c r="C12" i="30"/>
  <c r="B12" i="30"/>
  <c r="C79" i="18"/>
  <c r="C78" i="18"/>
  <c r="P73" i="18"/>
  <c r="O73" i="18"/>
  <c r="N73" i="18"/>
  <c r="M73" i="18"/>
  <c r="L73" i="18"/>
  <c r="K73" i="18"/>
  <c r="D73" i="18"/>
  <c r="F72" i="18"/>
  <c r="E72" i="18"/>
  <c r="B72" i="18"/>
  <c r="F71" i="18"/>
  <c r="E71" i="18"/>
  <c r="B71" i="18"/>
  <c r="F70" i="18"/>
  <c r="E70" i="18"/>
  <c r="B70" i="18"/>
  <c r="F69" i="18"/>
  <c r="E69" i="18"/>
  <c r="B69" i="18"/>
  <c r="F68" i="18"/>
  <c r="E68" i="18"/>
  <c r="B68" i="18"/>
  <c r="F67" i="18"/>
  <c r="E67" i="18"/>
  <c r="B67" i="18"/>
  <c r="F66" i="18"/>
  <c r="E66" i="18"/>
  <c r="B66" i="18"/>
  <c r="F65" i="18"/>
  <c r="E65" i="18"/>
  <c r="B65" i="18"/>
  <c r="F64" i="18"/>
  <c r="E64" i="18"/>
  <c r="B64" i="18"/>
  <c r="K62" i="18"/>
  <c r="I61" i="18"/>
  <c r="F61" i="18"/>
  <c r="H61" i="18" s="1"/>
  <c r="P60" i="18"/>
  <c r="O60" i="18"/>
  <c r="N60" i="18"/>
  <c r="M60" i="18"/>
  <c r="L60" i="18"/>
  <c r="I60" i="18"/>
  <c r="G60" i="18"/>
  <c r="F60" i="18"/>
  <c r="E60" i="18"/>
  <c r="D60" i="18"/>
  <c r="B60" i="18"/>
  <c r="P59" i="18"/>
  <c r="O59" i="18"/>
  <c r="N59" i="18"/>
  <c r="M59" i="18"/>
  <c r="L59" i="18"/>
  <c r="I59" i="18"/>
  <c r="G59" i="18"/>
  <c r="F59" i="18"/>
  <c r="E59" i="18"/>
  <c r="D59" i="18"/>
  <c r="B59" i="18"/>
  <c r="P58" i="18"/>
  <c r="O58" i="18"/>
  <c r="N58" i="18"/>
  <c r="M58" i="18"/>
  <c r="L58" i="18"/>
  <c r="I58" i="18"/>
  <c r="G58" i="18"/>
  <c r="F58" i="18"/>
  <c r="E58" i="18"/>
  <c r="D58" i="18"/>
  <c r="B58" i="18"/>
  <c r="P57" i="18"/>
  <c r="O57" i="18"/>
  <c r="N57" i="18"/>
  <c r="M57" i="18"/>
  <c r="L57" i="18"/>
  <c r="I57" i="18"/>
  <c r="G57" i="18"/>
  <c r="F57" i="18"/>
  <c r="E57" i="18"/>
  <c r="D57" i="18"/>
  <c r="B57" i="18"/>
  <c r="P56" i="18"/>
  <c r="O56" i="18"/>
  <c r="N56" i="18"/>
  <c r="M56" i="18"/>
  <c r="L56" i="18"/>
  <c r="I56" i="18"/>
  <c r="G56" i="18"/>
  <c r="F56" i="18"/>
  <c r="E56" i="18"/>
  <c r="D56" i="18"/>
  <c r="B56" i="18"/>
  <c r="P55" i="18"/>
  <c r="O55" i="18"/>
  <c r="N55" i="18"/>
  <c r="M55" i="18"/>
  <c r="L55" i="18"/>
  <c r="I55" i="18"/>
  <c r="G55" i="18"/>
  <c r="F55" i="18"/>
  <c r="E55" i="18"/>
  <c r="D55" i="18"/>
  <c r="B55" i="18"/>
  <c r="P54" i="18"/>
  <c r="O54" i="18"/>
  <c r="N54" i="18"/>
  <c r="M54" i="18"/>
  <c r="L54" i="18"/>
  <c r="I54" i="18"/>
  <c r="G54" i="18"/>
  <c r="F54" i="18"/>
  <c r="E54" i="18"/>
  <c r="D54" i="18"/>
  <c r="B54" i="18"/>
  <c r="P53" i="18"/>
  <c r="O53" i="18"/>
  <c r="N53" i="18"/>
  <c r="M53" i="18"/>
  <c r="L53" i="18"/>
  <c r="I53" i="18"/>
  <c r="G53" i="18"/>
  <c r="F53" i="18"/>
  <c r="E53" i="18"/>
  <c r="D53" i="18"/>
  <c r="B53" i="18"/>
  <c r="P52" i="18"/>
  <c r="O52" i="18"/>
  <c r="N52" i="18"/>
  <c r="M52" i="18"/>
  <c r="L52" i="18"/>
  <c r="I52" i="18"/>
  <c r="G52" i="18"/>
  <c r="F52" i="18"/>
  <c r="E52" i="18"/>
  <c r="D52" i="18"/>
  <c r="B52" i="18"/>
  <c r="P51" i="18"/>
  <c r="O51" i="18"/>
  <c r="N51" i="18"/>
  <c r="M51" i="18"/>
  <c r="L51" i="18"/>
  <c r="I51" i="18"/>
  <c r="G51" i="18"/>
  <c r="F51" i="18"/>
  <c r="E51" i="18"/>
  <c r="D51" i="18"/>
  <c r="B51" i="18"/>
  <c r="P50" i="18"/>
  <c r="O50" i="18"/>
  <c r="N50" i="18"/>
  <c r="M50" i="18"/>
  <c r="L50" i="18"/>
  <c r="I50" i="18"/>
  <c r="G50" i="18"/>
  <c r="F50" i="18"/>
  <c r="E50" i="18"/>
  <c r="D50" i="18"/>
  <c r="B50" i="18"/>
  <c r="P49" i="18"/>
  <c r="O49" i="18"/>
  <c r="N49" i="18"/>
  <c r="M49" i="18"/>
  <c r="L49" i="18"/>
  <c r="I49" i="18"/>
  <c r="G49" i="18"/>
  <c r="F49" i="18"/>
  <c r="E49" i="18"/>
  <c r="D49" i="18"/>
  <c r="B49" i="18"/>
  <c r="P48" i="18"/>
  <c r="O48" i="18"/>
  <c r="N48" i="18"/>
  <c r="M48" i="18"/>
  <c r="L48" i="18"/>
  <c r="I48" i="18"/>
  <c r="G48" i="18"/>
  <c r="F48" i="18"/>
  <c r="E48" i="18"/>
  <c r="D48" i="18"/>
  <c r="B48" i="18"/>
  <c r="P47" i="18"/>
  <c r="O47" i="18"/>
  <c r="N47" i="18"/>
  <c r="M47" i="18"/>
  <c r="L47" i="18"/>
  <c r="I47" i="18"/>
  <c r="G47" i="18"/>
  <c r="F47" i="18"/>
  <c r="E47" i="18"/>
  <c r="D47" i="18"/>
  <c r="B47" i="18"/>
  <c r="P46" i="18"/>
  <c r="O46" i="18"/>
  <c r="N46" i="18"/>
  <c r="M46" i="18"/>
  <c r="L46" i="18"/>
  <c r="I46" i="18"/>
  <c r="G46" i="18"/>
  <c r="F46" i="18"/>
  <c r="E46" i="18"/>
  <c r="D46" i="18"/>
  <c r="B46" i="18"/>
  <c r="P45" i="18"/>
  <c r="O45" i="18"/>
  <c r="N45" i="18"/>
  <c r="M45" i="18"/>
  <c r="L45" i="18"/>
  <c r="I45" i="18"/>
  <c r="G45" i="18"/>
  <c r="F45" i="18"/>
  <c r="E45" i="18"/>
  <c r="D45" i="18"/>
  <c r="B45" i="18"/>
  <c r="M44" i="18"/>
  <c r="L44" i="18"/>
  <c r="K44" i="18"/>
  <c r="I44" i="18"/>
  <c r="T43" i="18"/>
  <c r="P43" i="18"/>
  <c r="V43" i="18" s="1"/>
  <c r="O43" i="18"/>
  <c r="U43" i="18" s="1"/>
  <c r="N43" i="18"/>
  <c r="G43" i="18"/>
  <c r="F43" i="18"/>
  <c r="E43" i="18"/>
  <c r="D43" i="18"/>
  <c r="B43" i="18"/>
  <c r="T42" i="18"/>
  <c r="P42" i="18"/>
  <c r="V42" i="18" s="1"/>
  <c r="O42" i="18"/>
  <c r="U42" i="18" s="1"/>
  <c r="N42" i="18"/>
  <c r="G42" i="18"/>
  <c r="F42" i="18"/>
  <c r="E42" i="18"/>
  <c r="D42" i="18"/>
  <c r="B42" i="18"/>
  <c r="T41" i="18"/>
  <c r="P41" i="18"/>
  <c r="V41" i="18" s="1"/>
  <c r="O41" i="18"/>
  <c r="U41" i="18" s="1"/>
  <c r="N41" i="18"/>
  <c r="G41" i="18"/>
  <c r="F41" i="18"/>
  <c r="E41" i="18"/>
  <c r="D41" i="18"/>
  <c r="B41" i="18"/>
  <c r="T40" i="18"/>
  <c r="P40" i="18"/>
  <c r="V40" i="18" s="1"/>
  <c r="O40" i="18"/>
  <c r="U40" i="18" s="1"/>
  <c r="N40" i="18"/>
  <c r="G40" i="18"/>
  <c r="F40" i="18"/>
  <c r="E40" i="18"/>
  <c r="D40" i="18"/>
  <c r="B40" i="18"/>
  <c r="T39" i="18"/>
  <c r="P39" i="18"/>
  <c r="V39" i="18" s="1"/>
  <c r="O39" i="18"/>
  <c r="U39" i="18" s="1"/>
  <c r="N39" i="18"/>
  <c r="G39" i="18"/>
  <c r="F39" i="18"/>
  <c r="E39" i="18"/>
  <c r="D39" i="18"/>
  <c r="B39" i="18"/>
  <c r="T38" i="18"/>
  <c r="P38" i="18"/>
  <c r="V38" i="18" s="1"/>
  <c r="O38" i="18"/>
  <c r="U38" i="18" s="1"/>
  <c r="N38" i="18"/>
  <c r="G38" i="18"/>
  <c r="F38" i="18"/>
  <c r="E38" i="18"/>
  <c r="D38" i="18"/>
  <c r="B38" i="18"/>
  <c r="T37" i="18"/>
  <c r="P37" i="18"/>
  <c r="V37" i="18" s="1"/>
  <c r="O37" i="18"/>
  <c r="U37" i="18" s="1"/>
  <c r="N37" i="18"/>
  <c r="G37" i="18"/>
  <c r="F37" i="18"/>
  <c r="E37" i="18"/>
  <c r="D37" i="18"/>
  <c r="B37" i="18"/>
  <c r="T36" i="18"/>
  <c r="P36" i="18"/>
  <c r="V36" i="18" s="1"/>
  <c r="O36" i="18"/>
  <c r="U36" i="18" s="1"/>
  <c r="N36" i="18"/>
  <c r="G36" i="18"/>
  <c r="F36" i="18"/>
  <c r="E36" i="18"/>
  <c r="D36" i="18"/>
  <c r="B36" i="18"/>
  <c r="T35" i="18"/>
  <c r="P35" i="18"/>
  <c r="V35" i="18" s="1"/>
  <c r="O35" i="18"/>
  <c r="U35" i="18" s="1"/>
  <c r="W35" i="18" s="1"/>
  <c r="N35" i="18"/>
  <c r="G35" i="18"/>
  <c r="F35" i="18"/>
  <c r="E35" i="18"/>
  <c r="D35" i="18"/>
  <c r="B35" i="18"/>
  <c r="T34" i="18"/>
  <c r="P34" i="18"/>
  <c r="V34" i="18" s="1"/>
  <c r="O34" i="18"/>
  <c r="U34" i="18" s="1"/>
  <c r="N34" i="18"/>
  <c r="G34" i="18"/>
  <c r="F34" i="18"/>
  <c r="E34" i="18"/>
  <c r="D34" i="18"/>
  <c r="B34" i="18"/>
  <c r="T33" i="18"/>
  <c r="P33" i="18"/>
  <c r="V33" i="18" s="1"/>
  <c r="O33" i="18"/>
  <c r="U33" i="18" s="1"/>
  <c r="N33" i="18"/>
  <c r="G33" i="18"/>
  <c r="F33" i="18"/>
  <c r="E33" i="18"/>
  <c r="D33" i="18"/>
  <c r="B33" i="18"/>
  <c r="T32" i="18"/>
  <c r="P32" i="18"/>
  <c r="V32" i="18" s="1"/>
  <c r="O32" i="18"/>
  <c r="U32" i="18" s="1"/>
  <c r="N32" i="18"/>
  <c r="G32" i="18"/>
  <c r="F32" i="18"/>
  <c r="E32" i="18"/>
  <c r="D32" i="18"/>
  <c r="B32" i="18"/>
  <c r="T31" i="18"/>
  <c r="P31" i="18"/>
  <c r="V31" i="18" s="1"/>
  <c r="O31" i="18"/>
  <c r="U31" i="18" s="1"/>
  <c r="W31" i="18" s="1"/>
  <c r="N31" i="18"/>
  <c r="G31" i="18"/>
  <c r="F31" i="18"/>
  <c r="E31" i="18"/>
  <c r="D31" i="18"/>
  <c r="B31" i="18"/>
  <c r="T30" i="18"/>
  <c r="P30" i="18"/>
  <c r="V30" i="18" s="1"/>
  <c r="O30" i="18"/>
  <c r="U30" i="18" s="1"/>
  <c r="N30" i="18"/>
  <c r="G30" i="18"/>
  <c r="F30" i="18"/>
  <c r="E30" i="18"/>
  <c r="D30" i="18"/>
  <c r="B30" i="18"/>
  <c r="T29" i="18"/>
  <c r="P29" i="18"/>
  <c r="V29" i="18" s="1"/>
  <c r="O29" i="18"/>
  <c r="U29" i="18" s="1"/>
  <c r="N29" i="18"/>
  <c r="G29" i="18"/>
  <c r="F29" i="18"/>
  <c r="E29" i="18"/>
  <c r="D29" i="18"/>
  <c r="B29" i="18"/>
  <c r="T28" i="18"/>
  <c r="P28" i="18"/>
  <c r="V28" i="18" s="1"/>
  <c r="O28" i="18"/>
  <c r="U28" i="18" s="1"/>
  <c r="N28" i="18"/>
  <c r="G28" i="18"/>
  <c r="F28" i="18"/>
  <c r="E28" i="18"/>
  <c r="D28" i="18"/>
  <c r="B28" i="18"/>
  <c r="T27" i="18"/>
  <c r="P27" i="18"/>
  <c r="V27" i="18" s="1"/>
  <c r="O27" i="18"/>
  <c r="U27" i="18" s="1"/>
  <c r="N27" i="18"/>
  <c r="G27" i="18"/>
  <c r="F27" i="18"/>
  <c r="E27" i="18"/>
  <c r="D27" i="18"/>
  <c r="B27" i="18"/>
  <c r="T26" i="18"/>
  <c r="P26" i="18"/>
  <c r="V26" i="18" s="1"/>
  <c r="O26" i="18"/>
  <c r="U26" i="18" s="1"/>
  <c r="N26" i="18"/>
  <c r="G26" i="18"/>
  <c r="F26" i="18"/>
  <c r="E26" i="18"/>
  <c r="D26" i="18"/>
  <c r="B26" i="18"/>
  <c r="T25" i="18"/>
  <c r="P25" i="18"/>
  <c r="V25" i="18" s="1"/>
  <c r="O25" i="18"/>
  <c r="U25" i="18" s="1"/>
  <c r="N25" i="18"/>
  <c r="G25" i="18"/>
  <c r="F25" i="18"/>
  <c r="E25" i="18"/>
  <c r="D25" i="18"/>
  <c r="B25" i="18"/>
  <c r="T24" i="18"/>
  <c r="P24" i="18"/>
  <c r="V24" i="18" s="1"/>
  <c r="O24" i="18"/>
  <c r="U24" i="18" s="1"/>
  <c r="N24" i="18"/>
  <c r="G24" i="18"/>
  <c r="F24" i="18"/>
  <c r="E24" i="18"/>
  <c r="D24" i="18"/>
  <c r="B24" i="18"/>
  <c r="T23" i="18"/>
  <c r="P23" i="18"/>
  <c r="V23" i="18" s="1"/>
  <c r="O23" i="18"/>
  <c r="U23" i="18" s="1"/>
  <c r="N23" i="18"/>
  <c r="G23" i="18"/>
  <c r="F23" i="18"/>
  <c r="E23" i="18"/>
  <c r="D23" i="18"/>
  <c r="B23" i="18"/>
  <c r="T22" i="18"/>
  <c r="P22" i="18"/>
  <c r="V22" i="18" s="1"/>
  <c r="O22" i="18"/>
  <c r="U22" i="18" s="1"/>
  <c r="N22" i="18"/>
  <c r="G22" i="18"/>
  <c r="F22" i="18"/>
  <c r="E22" i="18"/>
  <c r="D22" i="18"/>
  <c r="B22" i="18"/>
  <c r="T21" i="18"/>
  <c r="P21" i="18"/>
  <c r="V21" i="18" s="1"/>
  <c r="O21" i="18"/>
  <c r="U21" i="18" s="1"/>
  <c r="N21" i="18"/>
  <c r="G21" i="18"/>
  <c r="F21" i="18"/>
  <c r="E21" i="18"/>
  <c r="D21" i="18"/>
  <c r="B21" i="18"/>
  <c r="T20" i="18"/>
  <c r="P20" i="18"/>
  <c r="V20" i="18" s="1"/>
  <c r="O20" i="18"/>
  <c r="U20" i="18" s="1"/>
  <c r="N20" i="18"/>
  <c r="G20" i="18"/>
  <c r="F20" i="18"/>
  <c r="E20" i="18"/>
  <c r="D20" i="18"/>
  <c r="B20" i="18"/>
  <c r="T19" i="18"/>
  <c r="P19" i="18"/>
  <c r="V19" i="18" s="1"/>
  <c r="O19" i="18"/>
  <c r="U19" i="18" s="1"/>
  <c r="N19" i="18"/>
  <c r="G19" i="18"/>
  <c r="F19" i="18"/>
  <c r="E19" i="18"/>
  <c r="D19" i="18"/>
  <c r="B19" i="18"/>
  <c r="T18" i="18"/>
  <c r="P18" i="18"/>
  <c r="V18" i="18" s="1"/>
  <c r="O18" i="18"/>
  <c r="U18" i="18" s="1"/>
  <c r="N18" i="18"/>
  <c r="G18" i="18"/>
  <c r="F18" i="18"/>
  <c r="E18" i="18"/>
  <c r="D18" i="18"/>
  <c r="B18" i="18"/>
  <c r="T17" i="18"/>
  <c r="P17" i="18"/>
  <c r="V17" i="18" s="1"/>
  <c r="O17" i="18"/>
  <c r="U17" i="18" s="1"/>
  <c r="N17" i="18"/>
  <c r="G17" i="18"/>
  <c r="F17" i="18"/>
  <c r="E17" i="18"/>
  <c r="D17" i="18"/>
  <c r="B17" i="18"/>
  <c r="T16" i="18"/>
  <c r="P16" i="18"/>
  <c r="V16" i="18" s="1"/>
  <c r="O16" i="18"/>
  <c r="U16" i="18" s="1"/>
  <c r="N16" i="18"/>
  <c r="G16" i="18"/>
  <c r="F16" i="18"/>
  <c r="E16" i="18"/>
  <c r="D16" i="18"/>
  <c r="B16" i="18"/>
  <c r="T15" i="18"/>
  <c r="P15" i="18"/>
  <c r="V15" i="18" s="1"/>
  <c r="O15" i="18"/>
  <c r="U15" i="18" s="1"/>
  <c r="N15" i="18"/>
  <c r="G15" i="18"/>
  <c r="F15" i="18"/>
  <c r="E15" i="18"/>
  <c r="D15" i="18"/>
  <c r="B15" i="18"/>
  <c r="T14" i="18"/>
  <c r="P14" i="18"/>
  <c r="V14" i="18" s="1"/>
  <c r="O14" i="18"/>
  <c r="U14" i="18" s="1"/>
  <c r="N14" i="18"/>
  <c r="G14" i="18"/>
  <c r="F14" i="18"/>
  <c r="E14" i="18"/>
  <c r="D14" i="18"/>
  <c r="B14" i="18"/>
  <c r="T13" i="18"/>
  <c r="P13" i="18"/>
  <c r="O13" i="18"/>
  <c r="N13" i="18"/>
  <c r="G13" i="18"/>
  <c r="F13" i="18"/>
  <c r="E13" i="18"/>
  <c r="D13" i="18"/>
  <c r="B13" i="18"/>
  <c r="D36" i="16"/>
  <c r="C36" i="16"/>
  <c r="B36" i="16"/>
  <c r="C32" i="16"/>
  <c r="B32" i="16"/>
  <c r="D16" i="16"/>
  <c r="D32" i="16" s="1"/>
  <c r="F32" i="15"/>
  <c r="G23" i="15"/>
  <c r="C23" i="15"/>
  <c r="G17" i="15"/>
  <c r="C17" i="15"/>
  <c r="G14" i="15"/>
  <c r="C14" i="15"/>
  <c r="C13" i="15"/>
  <c r="C12" i="15"/>
  <c r="G30" i="25"/>
  <c r="F30" i="25"/>
  <c r="E30" i="25"/>
  <c r="D30" i="25"/>
  <c r="C30" i="25"/>
  <c r="G29" i="25"/>
  <c r="F29" i="25"/>
  <c r="E29" i="25"/>
  <c r="D29" i="25"/>
  <c r="C29" i="25"/>
  <c r="G28" i="25"/>
  <c r="F28" i="25"/>
  <c r="E28" i="25"/>
  <c r="D28" i="25"/>
  <c r="C28" i="25"/>
  <c r="G27" i="25"/>
  <c r="F27" i="25"/>
  <c r="E27" i="25"/>
  <c r="D27" i="25"/>
  <c r="G26" i="25"/>
  <c r="F26" i="25"/>
  <c r="E26" i="25"/>
  <c r="D26" i="25"/>
  <c r="C26" i="25"/>
  <c r="G25" i="25"/>
  <c r="F25" i="25"/>
  <c r="E25" i="25"/>
  <c r="D25" i="25"/>
  <c r="C25" i="25"/>
  <c r="G24" i="25"/>
  <c r="F24" i="25"/>
  <c r="E24" i="25"/>
  <c r="D24" i="25"/>
  <c r="C24" i="25"/>
  <c r="G23" i="25"/>
  <c r="F23" i="25"/>
  <c r="E23" i="25"/>
  <c r="D23" i="25"/>
  <c r="C23" i="25"/>
  <c r="G22" i="25"/>
  <c r="F22" i="25"/>
  <c r="E22" i="25"/>
  <c r="D22" i="25"/>
  <c r="C22" i="25"/>
  <c r="G21" i="25"/>
  <c r="F21" i="25"/>
  <c r="E21" i="25"/>
  <c r="D21" i="25"/>
  <c r="C21" i="25"/>
  <c r="G20" i="25"/>
  <c r="F20" i="25"/>
  <c r="E20" i="25"/>
  <c r="D20" i="25"/>
  <c r="C20" i="25"/>
  <c r="G19" i="25"/>
  <c r="F19" i="25"/>
  <c r="E19" i="25"/>
  <c r="D19" i="25"/>
  <c r="C19" i="25"/>
  <c r="G18" i="25"/>
  <c r="F18" i="25"/>
  <c r="E18" i="25"/>
  <c r="D18" i="25"/>
  <c r="C18" i="25"/>
  <c r="G17" i="25"/>
  <c r="F17" i="25"/>
  <c r="E17" i="25"/>
  <c r="D17" i="25"/>
  <c r="C17" i="25"/>
  <c r="G16" i="25"/>
  <c r="F16" i="25"/>
  <c r="E16" i="25"/>
  <c r="D16" i="25"/>
  <c r="C16" i="25"/>
  <c r="G15" i="25"/>
  <c r="F15" i="25"/>
  <c r="D15" i="25"/>
  <c r="G14" i="25"/>
  <c r="F14" i="25"/>
  <c r="E14" i="25"/>
  <c r="D14" i="25"/>
  <c r="C14" i="25"/>
  <c r="G13" i="25"/>
  <c r="F13" i="25"/>
  <c r="E13" i="25"/>
  <c r="D13" i="25"/>
  <c r="G12" i="25"/>
  <c r="F12" i="25"/>
  <c r="E12" i="25"/>
  <c r="D12" i="25"/>
  <c r="F11" i="25"/>
  <c r="E11" i="25"/>
  <c r="D11" i="25"/>
  <c r="B35" i="9"/>
  <c r="D34" i="9"/>
  <c r="C34" i="9"/>
  <c r="B34" i="9"/>
  <c r="B33" i="9"/>
  <c r="K30" i="9"/>
  <c r="H30" i="9"/>
  <c r="E30" i="9"/>
  <c r="J29" i="9"/>
  <c r="G29" i="9"/>
  <c r="J28" i="9"/>
  <c r="L28" i="9" s="1"/>
  <c r="G28" i="9"/>
  <c r="J27" i="9"/>
  <c r="L27" i="9" s="1"/>
  <c r="G27" i="9"/>
  <c r="J26" i="9"/>
  <c r="G26" i="9"/>
  <c r="J25" i="9"/>
  <c r="G25" i="9"/>
  <c r="J24" i="9"/>
  <c r="L24" i="9" s="1"/>
  <c r="G24" i="9"/>
  <c r="J23" i="9"/>
  <c r="L23" i="9" s="1"/>
  <c r="G23" i="9"/>
  <c r="J22" i="9"/>
  <c r="M22" i="9" s="1"/>
  <c r="G22" i="9"/>
  <c r="J21" i="9"/>
  <c r="M21" i="9" s="1"/>
  <c r="G21" i="9"/>
  <c r="J20" i="9"/>
  <c r="L20" i="9" s="1"/>
  <c r="G20" i="9"/>
  <c r="M20" i="9" s="1"/>
  <c r="J19" i="9"/>
  <c r="L19" i="9" s="1"/>
  <c r="G19" i="9"/>
  <c r="M19" i="9" s="1"/>
  <c r="J18" i="9"/>
  <c r="G18" i="9"/>
  <c r="J17" i="9"/>
  <c r="G17" i="9"/>
  <c r="J16" i="9"/>
  <c r="L16" i="9" s="1"/>
  <c r="G16" i="9"/>
  <c r="J15" i="9"/>
  <c r="L15" i="9" s="1"/>
  <c r="G15" i="9"/>
  <c r="J14" i="9"/>
  <c r="G14" i="9"/>
  <c r="J13" i="9"/>
  <c r="G13" i="9"/>
  <c r="J12" i="9"/>
  <c r="L12" i="9" s="1"/>
  <c r="G12" i="9"/>
  <c r="J11" i="9"/>
  <c r="L11" i="9" s="1"/>
  <c r="G11" i="9"/>
  <c r="J10" i="9"/>
  <c r="G10" i="9"/>
  <c r="N32" i="4"/>
  <c r="O32" i="4" s="1"/>
  <c r="P32" i="4" s="1"/>
  <c r="K32" i="4"/>
  <c r="M32" i="4" s="1"/>
  <c r="H32" i="4"/>
  <c r="E32" i="4"/>
  <c r="G32" i="4" s="1"/>
  <c r="B32" i="4"/>
  <c r="C32" i="4" s="1"/>
  <c r="D32" i="4" s="1"/>
  <c r="N31" i="4"/>
  <c r="O31" i="4" s="1"/>
  <c r="P31" i="4" s="1"/>
  <c r="K31" i="4"/>
  <c r="M31" i="4" s="1"/>
  <c r="H31" i="4"/>
  <c r="E31" i="4"/>
  <c r="G31" i="4" s="1"/>
  <c r="B31" i="4"/>
  <c r="C31" i="4" s="1"/>
  <c r="D31" i="4" s="1"/>
  <c r="N30" i="4"/>
  <c r="O30" i="4" s="1"/>
  <c r="P30" i="4" s="1"/>
  <c r="K30" i="4"/>
  <c r="M30" i="4" s="1"/>
  <c r="H30" i="4"/>
  <c r="E30" i="4"/>
  <c r="G30" i="4" s="1"/>
  <c r="B30" i="4"/>
  <c r="C30" i="4" s="1"/>
  <c r="D30" i="4" s="1"/>
  <c r="N29" i="4"/>
  <c r="O29" i="4" s="1"/>
  <c r="P29" i="4" s="1"/>
  <c r="K29" i="4"/>
  <c r="M29" i="4" s="1"/>
  <c r="H29" i="4"/>
  <c r="E29" i="4"/>
  <c r="G29" i="4" s="1"/>
  <c r="B29" i="4"/>
  <c r="C29" i="4" s="1"/>
  <c r="D29" i="4" s="1"/>
  <c r="N28" i="4"/>
  <c r="O28" i="4" s="1"/>
  <c r="P28" i="4" s="1"/>
  <c r="K28" i="4"/>
  <c r="M28" i="4" s="1"/>
  <c r="H28" i="4"/>
  <c r="J28" i="4" s="1"/>
  <c r="E28" i="4"/>
  <c r="G28" i="4" s="1"/>
  <c r="B28" i="4"/>
  <c r="C28" i="4" s="1"/>
  <c r="D28" i="4" s="1"/>
  <c r="N27" i="4"/>
  <c r="O27" i="4" s="1"/>
  <c r="P27" i="4" s="1"/>
  <c r="K27" i="4"/>
  <c r="M27" i="4" s="1"/>
  <c r="H27" i="4"/>
  <c r="J27" i="4" s="1"/>
  <c r="E27" i="4"/>
  <c r="G27" i="4" s="1"/>
  <c r="B27" i="4"/>
  <c r="C27" i="4" s="1"/>
  <c r="D27" i="4" s="1"/>
  <c r="N26" i="4"/>
  <c r="O26" i="4" s="1"/>
  <c r="P26" i="4" s="1"/>
  <c r="K26" i="4"/>
  <c r="M26" i="4" s="1"/>
  <c r="H26" i="4"/>
  <c r="J26" i="4" s="1"/>
  <c r="E26" i="4"/>
  <c r="G26" i="4" s="1"/>
  <c r="B26" i="4"/>
  <c r="C26" i="4" s="1"/>
  <c r="D26" i="4" s="1"/>
  <c r="N25" i="4"/>
  <c r="O25" i="4" s="1"/>
  <c r="P25" i="4" s="1"/>
  <c r="K25" i="4"/>
  <c r="L25" i="4" s="1"/>
  <c r="H25" i="4"/>
  <c r="J25" i="4" s="1"/>
  <c r="E25" i="4"/>
  <c r="G25" i="4" s="1"/>
  <c r="B25" i="4"/>
  <c r="C25" i="4" s="1"/>
  <c r="D25" i="4" s="1"/>
  <c r="N24" i="4"/>
  <c r="O24" i="4" s="1"/>
  <c r="P24" i="4" s="1"/>
  <c r="K24" i="4"/>
  <c r="M24" i="4" s="1"/>
  <c r="H24" i="4"/>
  <c r="J24" i="4" s="1"/>
  <c r="E24" i="4"/>
  <c r="G24" i="4" s="1"/>
  <c r="B24" i="4"/>
  <c r="C24" i="4" s="1"/>
  <c r="D24" i="4" s="1"/>
  <c r="N23" i="4"/>
  <c r="O23" i="4" s="1"/>
  <c r="P23" i="4" s="1"/>
  <c r="K23" i="4"/>
  <c r="M23" i="4" s="1"/>
  <c r="H23" i="4"/>
  <c r="J23" i="4" s="1"/>
  <c r="E23" i="4"/>
  <c r="G23" i="4" s="1"/>
  <c r="B23" i="4"/>
  <c r="C23" i="4" s="1"/>
  <c r="D23" i="4" s="1"/>
  <c r="N22" i="4"/>
  <c r="O22" i="4" s="1"/>
  <c r="P22" i="4" s="1"/>
  <c r="K22" i="4"/>
  <c r="M22" i="4" s="1"/>
  <c r="H22" i="4"/>
  <c r="J22" i="4" s="1"/>
  <c r="E22" i="4"/>
  <c r="G22" i="4" s="1"/>
  <c r="B22" i="4"/>
  <c r="C22" i="4" s="1"/>
  <c r="D22" i="4" s="1"/>
  <c r="N21" i="4"/>
  <c r="O21" i="4" s="1"/>
  <c r="P21" i="4" s="1"/>
  <c r="K21" i="4"/>
  <c r="L21" i="4" s="1"/>
  <c r="H21" i="4"/>
  <c r="J21" i="4" s="1"/>
  <c r="E21" i="4"/>
  <c r="G21" i="4" s="1"/>
  <c r="B21" i="4"/>
  <c r="C21" i="4" s="1"/>
  <c r="D21" i="4" s="1"/>
  <c r="N20" i="4"/>
  <c r="O20" i="4" s="1"/>
  <c r="P20" i="4" s="1"/>
  <c r="K20" i="4"/>
  <c r="L20" i="4" s="1"/>
  <c r="H20" i="4"/>
  <c r="J20" i="4" s="1"/>
  <c r="E20" i="4"/>
  <c r="G20" i="4" s="1"/>
  <c r="B20" i="4"/>
  <c r="C20" i="4" s="1"/>
  <c r="D20" i="4" s="1"/>
  <c r="N19" i="4"/>
  <c r="O19" i="4" s="1"/>
  <c r="P19" i="4" s="1"/>
  <c r="K19" i="4"/>
  <c r="L19" i="4" s="1"/>
  <c r="H19" i="4"/>
  <c r="J19" i="4" s="1"/>
  <c r="E19" i="4"/>
  <c r="G19" i="4" s="1"/>
  <c r="B19" i="4"/>
  <c r="C19" i="4" s="1"/>
  <c r="D19" i="4" s="1"/>
  <c r="N18" i="4"/>
  <c r="O18" i="4" s="1"/>
  <c r="P18" i="4" s="1"/>
  <c r="K18" i="4"/>
  <c r="L18" i="4" s="1"/>
  <c r="H18" i="4"/>
  <c r="J18" i="4" s="1"/>
  <c r="E18" i="4"/>
  <c r="G18" i="4" s="1"/>
  <c r="B18" i="4"/>
  <c r="C18" i="4" s="1"/>
  <c r="D18" i="4" s="1"/>
  <c r="N17" i="4"/>
  <c r="O17" i="4" s="1"/>
  <c r="P17" i="4" s="1"/>
  <c r="K17" i="4"/>
  <c r="H17" i="4"/>
  <c r="J17" i="4" s="1"/>
  <c r="G17" i="4"/>
  <c r="F17" i="4"/>
  <c r="C17" i="4"/>
  <c r="D17" i="4" s="1"/>
  <c r="N16" i="4"/>
  <c r="K16" i="4"/>
  <c r="M16" i="4" s="1"/>
  <c r="H16" i="4"/>
  <c r="E16" i="4"/>
  <c r="G16" i="4" s="1"/>
  <c r="B16" i="4"/>
  <c r="C16" i="4" s="1"/>
  <c r="D16" i="4" s="1"/>
  <c r="N15" i="4"/>
  <c r="O15" i="4" s="1"/>
  <c r="K15" i="4"/>
  <c r="M15" i="4" s="1"/>
  <c r="H15" i="4"/>
  <c r="I15" i="4" s="1"/>
  <c r="E15" i="4"/>
  <c r="F15" i="4" s="1"/>
  <c r="B15" i="4"/>
  <c r="C15" i="4" s="1"/>
  <c r="D15" i="4" s="1"/>
  <c r="N14" i="4"/>
  <c r="O14" i="4" s="1"/>
  <c r="P14" i="4" s="1"/>
  <c r="K14" i="4"/>
  <c r="H14" i="4"/>
  <c r="I14" i="4" s="1"/>
  <c r="E14" i="4"/>
  <c r="G14" i="4" s="1"/>
  <c r="B14" i="4"/>
  <c r="C14" i="4" s="1"/>
  <c r="D14" i="4" s="1"/>
  <c r="N13" i="4"/>
  <c r="K13" i="4"/>
  <c r="H13" i="4"/>
  <c r="I13" i="4" s="1"/>
  <c r="E13" i="4"/>
  <c r="F13" i="4" s="1"/>
  <c r="C13" i="4"/>
  <c r="B39" i="5"/>
  <c r="B38" i="5" s="1"/>
  <c r="D38" i="5"/>
  <c r="C38" i="5"/>
  <c r="D37" i="5"/>
  <c r="C37" i="5"/>
  <c r="B37" i="5"/>
  <c r="D36" i="5"/>
  <c r="C36" i="5"/>
  <c r="B36" i="5"/>
  <c r="D34" i="5"/>
  <c r="C34" i="5"/>
  <c r="B34" i="5"/>
  <c r="D33" i="5"/>
  <c r="C33" i="5"/>
  <c r="B33" i="5"/>
  <c r="D32" i="5"/>
  <c r="C32" i="5"/>
  <c r="B32" i="5"/>
  <c r="D31" i="5"/>
  <c r="C31" i="5"/>
  <c r="B31" i="5"/>
  <c r="D30" i="5"/>
  <c r="C30" i="5"/>
  <c r="B30" i="5"/>
  <c r="D29" i="5"/>
  <c r="C29" i="5"/>
  <c r="B29" i="5"/>
  <c r="D28" i="5"/>
  <c r="C28" i="5"/>
  <c r="B28" i="5"/>
  <c r="D27" i="5"/>
  <c r="C27" i="5"/>
  <c r="B27" i="5"/>
  <c r="D26" i="5"/>
  <c r="C26" i="5"/>
  <c r="B26" i="5"/>
  <c r="D25" i="5"/>
  <c r="C25" i="5"/>
  <c r="B25" i="5"/>
  <c r="D24" i="5"/>
  <c r="C24" i="5"/>
  <c r="B24" i="5"/>
  <c r="D23" i="5"/>
  <c r="C23" i="5"/>
  <c r="B23" i="5"/>
  <c r="D22" i="5"/>
  <c r="C22" i="5"/>
  <c r="B22" i="5"/>
  <c r="D21" i="5"/>
  <c r="C21" i="5"/>
  <c r="B21" i="5"/>
  <c r="D19" i="5"/>
  <c r="C19" i="5"/>
  <c r="B19" i="5"/>
  <c r="D18" i="5"/>
  <c r="C18" i="5"/>
  <c r="B18" i="5"/>
  <c r="D17" i="5"/>
  <c r="C17" i="5"/>
  <c r="B17" i="5"/>
  <c r="D15" i="5"/>
  <c r="D14" i="5" s="1"/>
  <c r="C15" i="5"/>
  <c r="C14" i="5" s="1"/>
  <c r="B15" i="5"/>
  <c r="B14" i="5" s="1"/>
  <c r="E56" i="24"/>
  <c r="D56" i="24"/>
  <c r="C56" i="24"/>
  <c r="E33" i="24"/>
  <c r="E32" i="24" s="1"/>
  <c r="D33" i="24"/>
  <c r="D32" i="24" s="1"/>
  <c r="C33" i="24"/>
  <c r="C32" i="24" s="1"/>
  <c r="E27" i="24"/>
  <c r="D27" i="24"/>
  <c r="D11" i="24" s="1"/>
  <c r="C27" i="24"/>
  <c r="E25" i="24"/>
  <c r="D25" i="24"/>
  <c r="C25" i="24"/>
  <c r="C11" i="24" s="1"/>
  <c r="C42" i="24" s="1"/>
  <c r="E21" i="24"/>
  <c r="D21" i="24"/>
  <c r="C21" i="24"/>
  <c r="E14" i="24"/>
  <c r="D14" i="24"/>
  <c r="C14" i="24"/>
  <c r="E12" i="24"/>
  <c r="D12" i="24"/>
  <c r="C12" i="24"/>
  <c r="H67" i="18" l="1"/>
  <c r="J67" i="18" s="1"/>
  <c r="H71" i="18"/>
  <c r="J71" i="18" s="1"/>
  <c r="W29" i="18"/>
  <c r="M21" i="4"/>
  <c r="S21" i="4" s="1"/>
  <c r="G13" i="4"/>
  <c r="G33" i="4" s="1"/>
  <c r="L32" i="4"/>
  <c r="M18" i="4"/>
  <c r="S18" i="4" s="1"/>
  <c r="M20" i="4"/>
  <c r="S20" i="4" s="1"/>
  <c r="Q25" i="4"/>
  <c r="I22" i="4"/>
  <c r="L31" i="4"/>
  <c r="G15" i="4"/>
  <c r="Q17" i="4"/>
  <c r="M19" i="4"/>
  <c r="S19" i="4" s="1"/>
  <c r="M25" i="4"/>
  <c r="S25" i="4" s="1"/>
  <c r="F14" i="4"/>
  <c r="Q30" i="4"/>
  <c r="F16" i="4"/>
  <c r="L26" i="4"/>
  <c r="L27" i="4"/>
  <c r="L28" i="4"/>
  <c r="L29" i="4"/>
  <c r="L30" i="4"/>
  <c r="M29" i="9"/>
  <c r="M13" i="9"/>
  <c r="D42" i="34"/>
  <c r="G42" i="34" s="1"/>
  <c r="C19" i="21"/>
  <c r="K74" i="18"/>
  <c r="L17" i="4"/>
  <c r="M17" i="4"/>
  <c r="S17" i="4" s="1"/>
  <c r="M26" i="9"/>
  <c r="M14" i="9"/>
  <c r="M27" i="9"/>
  <c r="H68" i="18"/>
  <c r="J68" i="18" s="1"/>
  <c r="C68" i="18" s="1"/>
  <c r="Q68" i="18" s="1"/>
  <c r="R68" i="18" s="1"/>
  <c r="H72" i="18"/>
  <c r="J72" i="18" s="1"/>
  <c r="C72" i="18" s="1"/>
  <c r="Q72" i="18" s="1"/>
  <c r="R72" i="18" s="1"/>
  <c r="B37" i="16"/>
  <c r="I18" i="4"/>
  <c r="Q32" i="4"/>
  <c r="G30" i="9"/>
  <c r="M28" i="9"/>
  <c r="L16" i="4"/>
  <c r="J14" i="4"/>
  <c r="L22" i="4"/>
  <c r="L23" i="4"/>
  <c r="L24" i="4"/>
  <c r="G32" i="15"/>
  <c r="D37" i="16"/>
  <c r="D42" i="24"/>
  <c r="E11" i="24"/>
  <c r="E42" i="24" s="1"/>
  <c r="Q21" i="4"/>
  <c r="I26" i="4"/>
  <c r="M12" i="9"/>
  <c r="W37" i="18"/>
  <c r="D20" i="34"/>
  <c r="H20" i="34" s="1"/>
  <c r="D23" i="34"/>
  <c r="H66" i="18"/>
  <c r="J66" i="18" s="1"/>
  <c r="C66" i="18" s="1"/>
  <c r="Q66" i="18" s="1"/>
  <c r="R66" i="18" s="1"/>
  <c r="D37" i="34"/>
  <c r="G37" i="34" s="1"/>
  <c r="B28" i="25"/>
  <c r="I28" i="25" s="1"/>
  <c r="C37" i="16"/>
  <c r="W24" i="18"/>
  <c r="B13" i="25"/>
  <c r="I13" i="25" s="1"/>
  <c r="C32" i="15"/>
  <c r="D41" i="34"/>
  <c r="H41" i="34" s="1"/>
  <c r="W36" i="18"/>
  <c r="W40" i="18"/>
  <c r="F43" i="30"/>
  <c r="E43" i="30"/>
  <c r="D43" i="30"/>
  <c r="D52" i="30" s="1"/>
  <c r="D53" i="30" s="1"/>
  <c r="D16" i="34"/>
  <c r="G16" i="34" s="1"/>
  <c r="D17" i="34"/>
  <c r="G17" i="34" s="1"/>
  <c r="D21" i="34"/>
  <c r="G21" i="34" s="1"/>
  <c r="D28" i="34"/>
  <c r="H28" i="34" s="1"/>
  <c r="D32" i="34"/>
  <c r="G32" i="34" s="1"/>
  <c r="D33" i="34"/>
  <c r="G33" i="34" s="1"/>
  <c r="D34" i="34"/>
  <c r="G34" i="34" s="1"/>
  <c r="C27" i="26"/>
  <c r="B17" i="25"/>
  <c r="I17" i="25" s="1"/>
  <c r="B25" i="25"/>
  <c r="I25" i="25" s="1"/>
  <c r="H26" i="18"/>
  <c r="D29" i="34"/>
  <c r="G29" i="34" s="1"/>
  <c r="D31" i="34"/>
  <c r="H31" i="34" s="1"/>
  <c r="D36" i="34"/>
  <c r="H36" i="34" s="1"/>
  <c r="G20" i="20"/>
  <c r="G18" i="20" s="1"/>
  <c r="C23" i="26"/>
  <c r="D20" i="5"/>
  <c r="W15" i="18"/>
  <c r="W19" i="18"/>
  <c r="W32" i="18"/>
  <c r="W39" i="18"/>
  <c r="H54" i="18"/>
  <c r="H58" i="18"/>
  <c r="J58" i="18" s="1"/>
  <c r="C58" i="18" s="1"/>
  <c r="H64" i="18"/>
  <c r="J64" i="18" s="1"/>
  <c r="H70" i="18"/>
  <c r="J70" i="18" s="1"/>
  <c r="C70" i="18" s="1"/>
  <c r="Q70" i="18" s="1"/>
  <c r="R70" i="18" s="1"/>
  <c r="D42" i="11"/>
  <c r="D51" i="11" s="1"/>
  <c r="D52" i="11" s="1"/>
  <c r="E12" i="11"/>
  <c r="F13" i="11"/>
  <c r="E14" i="11"/>
  <c r="E16" i="11"/>
  <c r="F17" i="11"/>
  <c r="E18" i="11"/>
  <c r="E20" i="11"/>
  <c r="F21" i="11"/>
  <c r="E22" i="11"/>
  <c r="E24" i="11"/>
  <c r="F25" i="11"/>
  <c r="E26" i="11"/>
  <c r="E28" i="11"/>
  <c r="F29" i="11"/>
  <c r="E30" i="11"/>
  <c r="E32" i="11"/>
  <c r="F33" i="11"/>
  <c r="E34" i="11"/>
  <c r="E36" i="11"/>
  <c r="F37" i="11"/>
  <c r="E38" i="11"/>
  <c r="E40" i="11"/>
  <c r="F41" i="11"/>
  <c r="D18" i="34"/>
  <c r="G18" i="34" s="1"/>
  <c r="D39" i="34"/>
  <c r="H39" i="34" s="1"/>
  <c r="C35" i="26"/>
  <c r="B21" i="25"/>
  <c r="H21" i="25" s="1"/>
  <c r="W17" i="18"/>
  <c r="W21" i="18"/>
  <c r="W27" i="18"/>
  <c r="W43" i="18"/>
  <c r="F44" i="34"/>
  <c r="D15" i="34"/>
  <c r="H15" i="34" s="1"/>
  <c r="D24" i="34"/>
  <c r="H24" i="34" s="1"/>
  <c r="D25" i="34"/>
  <c r="G25" i="34" s="1"/>
  <c r="D26" i="34"/>
  <c r="G26" i="34" s="1"/>
  <c r="L62" i="18"/>
  <c r="L74" i="18" s="1"/>
  <c r="P62" i="18"/>
  <c r="E31" i="25"/>
  <c r="B12" i="25"/>
  <c r="I12" i="25" s="1"/>
  <c r="B15" i="25"/>
  <c r="H15" i="25" s="1"/>
  <c r="B19" i="25"/>
  <c r="H19" i="25" s="1"/>
  <c r="B23" i="25"/>
  <c r="I23" i="25" s="1"/>
  <c r="B27" i="25"/>
  <c r="I27" i="25" s="1"/>
  <c r="O44" i="18"/>
  <c r="W25" i="18"/>
  <c r="W41" i="18"/>
  <c r="G41" i="34"/>
  <c r="C16" i="5"/>
  <c r="B20" i="5"/>
  <c r="J30" i="9"/>
  <c r="M30" i="9" s="1"/>
  <c r="B30" i="25"/>
  <c r="I30" i="25" s="1"/>
  <c r="M18" i="9"/>
  <c r="G44" i="18"/>
  <c r="T44" i="18"/>
  <c r="F44" i="18"/>
  <c r="W28" i="18"/>
  <c r="W33" i="18"/>
  <c r="H30" i="18"/>
  <c r="J30" i="18" s="1"/>
  <c r="C30" i="18" s="1"/>
  <c r="Q30" i="18" s="1"/>
  <c r="R30" i="18" s="1"/>
  <c r="H34" i="18"/>
  <c r="J34" i="18" s="1"/>
  <c r="C34" i="18" s="1"/>
  <c r="Q34" i="18" s="1"/>
  <c r="R34" i="18" s="1"/>
  <c r="H38" i="18"/>
  <c r="J38" i="18" s="1"/>
  <c r="C38" i="18" s="1"/>
  <c r="Q38" i="18" s="1"/>
  <c r="R38" i="18" s="1"/>
  <c r="H42" i="18"/>
  <c r="J42" i="18" s="1"/>
  <c r="C42" i="18" s="1"/>
  <c r="Q42" i="18" s="1"/>
  <c r="R42" i="18" s="1"/>
  <c r="H48" i="18"/>
  <c r="J48" i="18" s="1"/>
  <c r="C48" i="18" s="1"/>
  <c r="H56" i="18"/>
  <c r="J56" i="18" s="1"/>
  <c r="C56" i="18" s="1"/>
  <c r="D13" i="34"/>
  <c r="G13" i="34" s="1"/>
  <c r="C44" i="34"/>
  <c r="E15" i="13"/>
  <c r="C39" i="26"/>
  <c r="B16" i="5"/>
  <c r="M17" i="9"/>
  <c r="M23" i="9"/>
  <c r="M24" i="9"/>
  <c r="B11" i="25"/>
  <c r="H11" i="25" s="1"/>
  <c r="B14" i="25"/>
  <c r="I14" i="25" s="1"/>
  <c r="B18" i="25"/>
  <c r="I18" i="25" s="1"/>
  <c r="B22" i="25"/>
  <c r="I22" i="25" s="1"/>
  <c r="B26" i="25"/>
  <c r="H26" i="25" s="1"/>
  <c r="B29" i="25"/>
  <c r="H29" i="25" s="1"/>
  <c r="W14" i="18"/>
  <c r="H15" i="18"/>
  <c r="J15" i="18" s="1"/>
  <c r="C15" i="18" s="1"/>
  <c r="Q15" i="18" s="1"/>
  <c r="R15" i="18" s="1"/>
  <c r="H17" i="18"/>
  <c r="J17" i="18" s="1"/>
  <c r="C17" i="18" s="1"/>
  <c r="Q17" i="18" s="1"/>
  <c r="R17" i="18" s="1"/>
  <c r="H20" i="18"/>
  <c r="J20" i="18" s="1"/>
  <c r="C20" i="18" s="1"/>
  <c r="Q20" i="18" s="1"/>
  <c r="R20" i="18" s="1"/>
  <c r="W22" i="18"/>
  <c r="H23" i="18"/>
  <c r="J23" i="18" s="1"/>
  <c r="C23" i="18" s="1"/>
  <c r="Q23" i="18" s="1"/>
  <c r="R23" i="18" s="1"/>
  <c r="W23" i="18"/>
  <c r="H25" i="18"/>
  <c r="J25" i="18" s="1"/>
  <c r="C25" i="18" s="1"/>
  <c r="Q25" i="18" s="1"/>
  <c r="R25" i="18" s="1"/>
  <c r="H27" i="18"/>
  <c r="J27" i="18" s="1"/>
  <c r="C27" i="18" s="1"/>
  <c r="Q27" i="18" s="1"/>
  <c r="R27" i="18" s="1"/>
  <c r="N44" i="18"/>
  <c r="H29" i="18"/>
  <c r="J29" i="18" s="1"/>
  <c r="C29" i="18" s="1"/>
  <c r="Q29" i="18" s="1"/>
  <c r="R29" i="18" s="1"/>
  <c r="H31" i="18"/>
  <c r="J31" i="18" s="1"/>
  <c r="C31" i="18" s="1"/>
  <c r="Q31" i="18" s="1"/>
  <c r="R31" i="18" s="1"/>
  <c r="H33" i="18"/>
  <c r="J33" i="18" s="1"/>
  <c r="C33" i="18" s="1"/>
  <c r="Q33" i="18" s="1"/>
  <c r="R33" i="18" s="1"/>
  <c r="H35" i="18"/>
  <c r="J35" i="18" s="1"/>
  <c r="H37" i="18"/>
  <c r="J37" i="18" s="1"/>
  <c r="C37" i="18" s="1"/>
  <c r="Q37" i="18" s="1"/>
  <c r="R37" i="18" s="1"/>
  <c r="H39" i="18"/>
  <c r="J39" i="18" s="1"/>
  <c r="H41" i="18"/>
  <c r="J41" i="18" s="1"/>
  <c r="C41" i="18" s="1"/>
  <c r="Q41" i="18" s="1"/>
  <c r="R41" i="18" s="1"/>
  <c r="H43" i="18"/>
  <c r="J43" i="18" s="1"/>
  <c r="C43" i="18" s="1"/>
  <c r="Q43" i="18" s="1"/>
  <c r="R43" i="18" s="1"/>
  <c r="F62" i="18"/>
  <c r="H47" i="18"/>
  <c r="J47" i="18" s="1"/>
  <c r="H55" i="18"/>
  <c r="J55" i="18" s="1"/>
  <c r="C55" i="18" s="1"/>
  <c r="H59" i="18"/>
  <c r="J59" i="18" s="1"/>
  <c r="C59" i="18" s="1"/>
  <c r="H65" i="18"/>
  <c r="J65" i="18" s="1"/>
  <c r="E44" i="34"/>
  <c r="D14" i="34"/>
  <c r="G14" i="34" s="1"/>
  <c r="D19" i="34"/>
  <c r="H19" i="34" s="1"/>
  <c r="D30" i="34"/>
  <c r="H30" i="34" s="1"/>
  <c r="D35" i="34"/>
  <c r="H35" i="34" s="1"/>
  <c r="D40" i="34"/>
  <c r="G40" i="34" s="1"/>
  <c r="C14" i="13"/>
  <c r="E14" i="13" s="1"/>
  <c r="C19" i="26"/>
  <c r="D16" i="5"/>
  <c r="C20" i="5"/>
  <c r="M15" i="9"/>
  <c r="M16" i="9"/>
  <c r="M25" i="9"/>
  <c r="G31" i="25"/>
  <c r="B16" i="25"/>
  <c r="H16" i="25" s="1"/>
  <c r="B20" i="25"/>
  <c r="H20" i="25" s="1"/>
  <c r="B24" i="25"/>
  <c r="I24" i="25" s="1"/>
  <c r="D44" i="18"/>
  <c r="H16" i="18"/>
  <c r="J16" i="18" s="1"/>
  <c r="C16" i="18" s="1"/>
  <c r="Q16" i="18" s="1"/>
  <c r="R16" i="18" s="1"/>
  <c r="W18" i="18"/>
  <c r="H19" i="18"/>
  <c r="J19" i="18" s="1"/>
  <c r="C19" i="18" s="1"/>
  <c r="Q19" i="18" s="1"/>
  <c r="R19" i="18" s="1"/>
  <c r="H21" i="18"/>
  <c r="J21" i="18" s="1"/>
  <c r="H24" i="18"/>
  <c r="J24" i="18" s="1"/>
  <c r="C24" i="18" s="1"/>
  <c r="Q24" i="18" s="1"/>
  <c r="R24" i="18" s="1"/>
  <c r="H28" i="18"/>
  <c r="H32" i="18"/>
  <c r="J32" i="18" s="1"/>
  <c r="C32" i="18" s="1"/>
  <c r="Q32" i="18" s="1"/>
  <c r="R32" i="18" s="1"/>
  <c r="H36" i="18"/>
  <c r="J36" i="18" s="1"/>
  <c r="C36" i="18" s="1"/>
  <c r="Q36" i="18" s="1"/>
  <c r="R36" i="18" s="1"/>
  <c r="H40" i="18"/>
  <c r="J40" i="18" s="1"/>
  <c r="C40" i="18" s="1"/>
  <c r="Q40" i="18" s="1"/>
  <c r="R40" i="18" s="1"/>
  <c r="H49" i="18"/>
  <c r="J49" i="18" s="1"/>
  <c r="C49" i="18" s="1"/>
  <c r="F73" i="18"/>
  <c r="H69" i="18"/>
  <c r="C43" i="30"/>
  <c r="C42" i="11"/>
  <c r="D22" i="34"/>
  <c r="G22" i="34" s="1"/>
  <c r="D27" i="34"/>
  <c r="H27" i="34" s="1"/>
  <c r="D38" i="34"/>
  <c r="H38" i="34" s="1"/>
  <c r="D43" i="34"/>
  <c r="H43" i="34" s="1"/>
  <c r="C15" i="26"/>
  <c r="C37" i="26"/>
  <c r="H23" i="34"/>
  <c r="G23" i="34"/>
  <c r="H14" i="34"/>
  <c r="E11" i="11"/>
  <c r="E15" i="11"/>
  <c r="E19" i="11"/>
  <c r="E23" i="11"/>
  <c r="E27" i="11"/>
  <c r="E31" i="11"/>
  <c r="E35" i="11"/>
  <c r="E39" i="11"/>
  <c r="F11" i="11"/>
  <c r="J54" i="18"/>
  <c r="C54" i="18" s="1"/>
  <c r="J61" i="18"/>
  <c r="C61" i="18" s="1"/>
  <c r="Q61" i="18" s="1"/>
  <c r="R61" i="18" s="1"/>
  <c r="J26" i="18"/>
  <c r="C26" i="18" s="1"/>
  <c r="Q26" i="18" s="1"/>
  <c r="R26" i="18" s="1"/>
  <c r="J28" i="18"/>
  <c r="C28" i="18" s="1"/>
  <c r="Q28" i="18" s="1"/>
  <c r="R28" i="18" s="1"/>
  <c r="P44" i="18"/>
  <c r="V13" i="18"/>
  <c r="V44" i="18" s="1"/>
  <c r="G62" i="18"/>
  <c r="N62" i="18"/>
  <c r="M62" i="18"/>
  <c r="M74" i="18" s="1"/>
  <c r="H60" i="18"/>
  <c r="H13" i="18"/>
  <c r="H14" i="18"/>
  <c r="W16" i="18"/>
  <c r="H18" i="18"/>
  <c r="W20" i="18"/>
  <c r="H22" i="18"/>
  <c r="I62" i="18"/>
  <c r="I74" i="18" s="1"/>
  <c r="D62" i="18"/>
  <c r="H46" i="18"/>
  <c r="H50" i="18"/>
  <c r="E73" i="18"/>
  <c r="U13" i="18"/>
  <c r="W26" i="18"/>
  <c r="W30" i="18"/>
  <c r="W34" i="18"/>
  <c r="W38" i="18"/>
  <c r="W42" i="18"/>
  <c r="E62" i="18"/>
  <c r="H51" i="18"/>
  <c r="H52" i="18"/>
  <c r="H57" i="18"/>
  <c r="E44" i="18"/>
  <c r="H45" i="18"/>
  <c r="H53" i="18"/>
  <c r="O62" i="18"/>
  <c r="H12" i="25"/>
  <c r="I20" i="25"/>
  <c r="F31" i="25"/>
  <c r="C31" i="25"/>
  <c r="H28" i="25"/>
  <c r="D31" i="25"/>
  <c r="M11" i="9"/>
  <c r="L13" i="9"/>
  <c r="L17" i="9"/>
  <c r="L21" i="9"/>
  <c r="L25" i="9"/>
  <c r="L29" i="9"/>
  <c r="L10" i="9"/>
  <c r="L14" i="9"/>
  <c r="L18" i="9"/>
  <c r="L22" i="9"/>
  <c r="L26" i="9"/>
  <c r="M10" i="9"/>
  <c r="K33" i="4"/>
  <c r="M13" i="4"/>
  <c r="P15" i="4"/>
  <c r="S22" i="4"/>
  <c r="S26" i="4"/>
  <c r="H33" i="4"/>
  <c r="L13" i="4"/>
  <c r="M14" i="4"/>
  <c r="L14" i="4"/>
  <c r="J15" i="4"/>
  <c r="Q16" i="4"/>
  <c r="O16" i="4"/>
  <c r="Q18" i="4"/>
  <c r="I19" i="4"/>
  <c r="Q22" i="4"/>
  <c r="I23" i="4"/>
  <c r="S23" i="4"/>
  <c r="Q26" i="4"/>
  <c r="I27" i="4"/>
  <c r="S27" i="4"/>
  <c r="J29" i="4"/>
  <c r="I29" i="4"/>
  <c r="S29" i="4"/>
  <c r="J31" i="4"/>
  <c r="S31" i="4" s="1"/>
  <c r="I31" i="4"/>
  <c r="I16" i="4"/>
  <c r="J16" i="4"/>
  <c r="Q19" i="4"/>
  <c r="I20" i="4"/>
  <c r="Q23" i="4"/>
  <c r="I24" i="4"/>
  <c r="S24" i="4"/>
  <c r="Q27" i="4"/>
  <c r="I28" i="4"/>
  <c r="S28" i="4"/>
  <c r="Q29" i="4"/>
  <c r="Q31" i="4"/>
  <c r="C33" i="4"/>
  <c r="D13" i="4"/>
  <c r="D33" i="4" s="1"/>
  <c r="Q15" i="4"/>
  <c r="I17" i="4"/>
  <c r="Q20" i="4"/>
  <c r="I21" i="4"/>
  <c r="Q24" i="4"/>
  <c r="I25" i="4"/>
  <c r="Q28" i="4"/>
  <c r="J30" i="4"/>
  <c r="S30" i="4" s="1"/>
  <c r="I30" i="4"/>
  <c r="R30" i="4" s="1"/>
  <c r="J32" i="4"/>
  <c r="S32" i="4" s="1"/>
  <c r="I32" i="4"/>
  <c r="B33" i="4"/>
  <c r="Q13" i="4"/>
  <c r="N33" i="4"/>
  <c r="E33" i="4"/>
  <c r="J13" i="4"/>
  <c r="O13" i="4"/>
  <c r="Q14" i="4"/>
  <c r="L15" i="4"/>
  <c r="R15" i="4" s="1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C59" i="24"/>
  <c r="C58" i="24"/>
  <c r="D58" i="24"/>
  <c r="D59" i="24"/>
  <c r="E59" i="24"/>
  <c r="E58" i="24"/>
  <c r="G39" i="34" l="1"/>
  <c r="H18" i="34"/>
  <c r="G30" i="34"/>
  <c r="H16" i="34"/>
  <c r="G36" i="34"/>
  <c r="G20" i="34"/>
  <c r="H37" i="34"/>
  <c r="H33" i="34"/>
  <c r="C71" i="18"/>
  <c r="Q71" i="18" s="1"/>
  <c r="R71" i="18" s="1"/>
  <c r="G31" i="34"/>
  <c r="C67" i="18"/>
  <c r="Q67" i="18" s="1"/>
  <c r="R67" i="18" s="1"/>
  <c r="H26" i="34"/>
  <c r="H42" i="34"/>
  <c r="H25" i="25"/>
  <c r="I19" i="25"/>
  <c r="I29" i="25"/>
  <c r="H18" i="25"/>
  <c r="R14" i="4"/>
  <c r="R17" i="4"/>
  <c r="R19" i="4"/>
  <c r="R22" i="4"/>
  <c r="R31" i="4"/>
  <c r="R21" i="4"/>
  <c r="R32" i="4"/>
  <c r="F33" i="4"/>
  <c r="S14" i="4"/>
  <c r="R29" i="4"/>
  <c r="R26" i="4"/>
  <c r="D13" i="5"/>
  <c r="R27" i="4"/>
  <c r="R18" i="4"/>
  <c r="I33" i="4"/>
  <c r="R25" i="4"/>
  <c r="R23" i="4"/>
  <c r="J33" i="4"/>
  <c r="R28" i="4"/>
  <c r="H40" i="34"/>
  <c r="R20" i="4"/>
  <c r="S15" i="4"/>
  <c r="R24" i="4"/>
  <c r="M33" i="4"/>
  <c r="H24" i="25"/>
  <c r="G35" i="34"/>
  <c r="H22" i="25"/>
  <c r="C40" i="26"/>
  <c r="H17" i="34"/>
  <c r="H32" i="34"/>
  <c r="H17" i="25"/>
  <c r="G43" i="34"/>
  <c r="G15" i="34"/>
  <c r="G19" i="34"/>
  <c r="H34" i="34"/>
  <c r="G28" i="34"/>
  <c r="F74" i="18"/>
  <c r="B13" i="5"/>
  <c r="H13" i="25"/>
  <c r="I21" i="25"/>
  <c r="I16" i="25"/>
  <c r="C35" i="18"/>
  <c r="Q35" i="18" s="1"/>
  <c r="R35" i="18" s="1"/>
  <c r="H30" i="25"/>
  <c r="P74" i="18"/>
  <c r="H25" i="34"/>
  <c r="G38" i="34"/>
  <c r="H23" i="25"/>
  <c r="H21" i="34"/>
  <c r="H22" i="34"/>
  <c r="H27" i="25"/>
  <c r="I15" i="25"/>
  <c r="I11" i="25"/>
  <c r="N74" i="18"/>
  <c r="F42" i="11"/>
  <c r="G24" i="34"/>
  <c r="C21" i="18"/>
  <c r="Q21" i="18" s="1"/>
  <c r="R21" i="18" s="1"/>
  <c r="H73" i="18"/>
  <c r="C65" i="18"/>
  <c r="Q65" i="18" s="1"/>
  <c r="R65" i="18" s="1"/>
  <c r="I26" i="25"/>
  <c r="O74" i="18"/>
  <c r="H29" i="34"/>
  <c r="H13" i="34"/>
  <c r="C47" i="18"/>
  <c r="T47" i="18" s="1"/>
  <c r="C13" i="5"/>
  <c r="D74" i="18"/>
  <c r="D44" i="34"/>
  <c r="B31" i="25"/>
  <c r="J69" i="18"/>
  <c r="C69" i="18" s="1"/>
  <c r="Q69" i="18" s="1"/>
  <c r="R69" i="18" s="1"/>
  <c r="C39" i="18"/>
  <c r="Q39" i="18" s="1"/>
  <c r="R39" i="18" s="1"/>
  <c r="G27" i="34"/>
  <c r="D14" i="13"/>
  <c r="H14" i="25"/>
  <c r="E74" i="18"/>
  <c r="E42" i="11"/>
  <c r="Q49" i="18"/>
  <c r="R49" i="18" s="1"/>
  <c r="T49" i="18"/>
  <c r="Q58" i="18"/>
  <c r="R58" i="18" s="1"/>
  <c r="T58" i="18"/>
  <c r="T54" i="18"/>
  <c r="Q54" i="18"/>
  <c r="R54" i="18" s="1"/>
  <c r="T56" i="18"/>
  <c r="Q56" i="18"/>
  <c r="R56" i="18" s="1"/>
  <c r="T48" i="18"/>
  <c r="Q48" i="18"/>
  <c r="R48" i="18" s="1"/>
  <c r="T59" i="18"/>
  <c r="Q59" i="18"/>
  <c r="R59" i="18" s="1"/>
  <c r="J51" i="18"/>
  <c r="C51" i="18" s="1"/>
  <c r="J22" i="18"/>
  <c r="C22" i="18" s="1"/>
  <c r="Q22" i="18" s="1"/>
  <c r="R22" i="18" s="1"/>
  <c r="J14" i="18"/>
  <c r="C14" i="18" s="1"/>
  <c r="Q14" i="18" s="1"/>
  <c r="R14" i="18" s="1"/>
  <c r="T55" i="18"/>
  <c r="Q55" i="18"/>
  <c r="R55" i="18" s="1"/>
  <c r="C64" i="18"/>
  <c r="J46" i="18"/>
  <c r="C46" i="18" s="1"/>
  <c r="H44" i="18"/>
  <c r="J13" i="18"/>
  <c r="C13" i="18" s="1"/>
  <c r="J53" i="18"/>
  <c r="C53" i="18" s="1"/>
  <c r="J57" i="18"/>
  <c r="C57" i="18" s="1"/>
  <c r="J18" i="18"/>
  <c r="C18" i="18" s="1"/>
  <c r="Q18" i="18" s="1"/>
  <c r="R18" i="18" s="1"/>
  <c r="J60" i="18"/>
  <c r="C60" i="18" s="1"/>
  <c r="Q60" i="18" s="1"/>
  <c r="R60" i="18" s="1"/>
  <c r="J45" i="18"/>
  <c r="C45" i="18" s="1"/>
  <c r="H62" i="18"/>
  <c r="J52" i="18"/>
  <c r="C52" i="18" s="1"/>
  <c r="W13" i="18"/>
  <c r="W44" i="18" s="1"/>
  <c r="U44" i="18"/>
  <c r="J50" i="18"/>
  <c r="C50" i="18" s="1"/>
  <c r="L30" i="9"/>
  <c r="P16" i="4"/>
  <c r="S16" i="4" s="1"/>
  <c r="R16" i="4"/>
  <c r="L33" i="4"/>
  <c r="O33" i="4"/>
  <c r="P13" i="4"/>
  <c r="R13" i="4"/>
  <c r="Q33" i="4"/>
  <c r="R33" i="4" l="1"/>
  <c r="I31" i="25"/>
  <c r="Q47" i="18"/>
  <c r="R47" i="18" s="1"/>
  <c r="G44" i="34"/>
  <c r="H44" i="34"/>
  <c r="H31" i="25"/>
  <c r="J73" i="18"/>
  <c r="T52" i="18"/>
  <c r="Q52" i="18"/>
  <c r="R52" i="18" s="1"/>
  <c r="Q50" i="18"/>
  <c r="R50" i="18" s="1"/>
  <c r="T50" i="18"/>
  <c r="Q57" i="18"/>
  <c r="R57" i="18" s="1"/>
  <c r="T57" i="18"/>
  <c r="Q53" i="18"/>
  <c r="R53" i="18" s="1"/>
  <c r="T53" i="18"/>
  <c r="T46" i="18"/>
  <c r="Q46" i="18"/>
  <c r="R46" i="18" s="1"/>
  <c r="C62" i="18"/>
  <c r="Q45" i="18"/>
  <c r="T45" i="18"/>
  <c r="C44" i="18"/>
  <c r="Q13" i="18"/>
  <c r="J62" i="18"/>
  <c r="J44" i="18"/>
  <c r="C73" i="18"/>
  <c r="Q64" i="18"/>
  <c r="T51" i="18"/>
  <c r="Q51" i="18"/>
  <c r="R51" i="18" s="1"/>
  <c r="H74" i="18"/>
  <c r="S13" i="4"/>
  <c r="S33" i="4" s="1"/>
  <c r="P33" i="4"/>
  <c r="J74" i="18" l="1"/>
  <c r="T62" i="18"/>
  <c r="C81" i="18"/>
  <c r="Q62" i="18"/>
  <c r="R45" i="18"/>
  <c r="R62" i="18" s="1"/>
  <c r="R64" i="18"/>
  <c r="R73" i="18" s="1"/>
  <c r="Q73" i="18"/>
  <c r="Q44" i="18"/>
  <c r="Q74" i="18" s="1"/>
  <c r="R13" i="18"/>
  <c r="R44" i="18" s="1"/>
  <c r="C74" i="18"/>
  <c r="C80" i="18"/>
  <c r="R74" i="18" l="1"/>
  <c r="B19" i="9" l="1"/>
  <c r="B16" i="9"/>
  <c r="B13" i="9"/>
  <c r="B29" i="9"/>
  <c r="B26" i="9"/>
  <c r="B23" i="9"/>
  <c r="B20" i="9"/>
  <c r="B17" i="9"/>
  <c r="B14" i="9"/>
  <c r="B10" i="9"/>
  <c r="B11" i="9"/>
  <c r="B27" i="9"/>
  <c r="B24" i="9"/>
  <c r="B21" i="9"/>
  <c r="B18" i="9"/>
  <c r="B15" i="9"/>
  <c r="B12" i="9"/>
  <c r="B28" i="9"/>
  <c r="B25" i="9"/>
  <c r="B22" i="9"/>
  <c r="I25" i="9" l="1"/>
  <c r="F25" i="9"/>
  <c r="I18" i="9"/>
  <c r="F18" i="9"/>
  <c r="F20" i="9"/>
  <c r="I20" i="9"/>
  <c r="I13" i="9"/>
  <c r="F13" i="9"/>
  <c r="I28" i="9"/>
  <c r="F28" i="9"/>
  <c r="I21" i="9"/>
  <c r="F21" i="9"/>
  <c r="B30" i="9"/>
  <c r="I10" i="9"/>
  <c r="F10" i="9"/>
  <c r="I23" i="9"/>
  <c r="F23" i="9"/>
  <c r="I16" i="9"/>
  <c r="F16" i="9"/>
  <c r="F12" i="9"/>
  <c r="I12" i="9"/>
  <c r="F24" i="9"/>
  <c r="I24" i="9"/>
  <c r="F14" i="9"/>
  <c r="I14" i="9"/>
  <c r="F26" i="9"/>
  <c r="I26" i="9"/>
  <c r="I19" i="9"/>
  <c r="F19" i="9"/>
  <c r="F11" i="9"/>
  <c r="I11" i="9"/>
  <c r="F22" i="9"/>
  <c r="I22" i="9"/>
  <c r="I15" i="9"/>
  <c r="F15" i="9"/>
  <c r="I27" i="9"/>
  <c r="F27" i="9"/>
  <c r="F17" i="9"/>
  <c r="I17" i="9"/>
  <c r="F29" i="9"/>
  <c r="I29" i="9"/>
  <c r="F30" i="9" l="1"/>
  <c r="I30" i="9"/>
  <c r="C19" i="9"/>
  <c r="D19" i="9" s="1"/>
  <c r="C28" i="9"/>
  <c r="D28" i="9" s="1"/>
  <c r="C22" i="9"/>
  <c r="D22" i="9" s="1"/>
  <c r="C18" i="9"/>
  <c r="D18" i="9" s="1"/>
  <c r="C13" i="9"/>
  <c r="D13" i="9" s="1"/>
  <c r="C25" i="9"/>
  <c r="D25" i="9" s="1"/>
  <c r="C12" i="9"/>
  <c r="D12" i="9" s="1"/>
  <c r="C11" i="9"/>
  <c r="D11" i="9" s="1"/>
  <c r="C14" i="9"/>
  <c r="D14" i="9" s="1"/>
  <c r="C23" i="9"/>
  <c r="D23" i="9" s="1"/>
  <c r="C10" i="9"/>
  <c r="C21" i="9"/>
  <c r="D21" i="9" s="1"/>
  <c r="C29" i="9"/>
  <c r="D29" i="9" s="1"/>
  <c r="C16" i="9"/>
  <c r="D16" i="9" s="1"/>
  <c r="C20" i="9"/>
  <c r="D20" i="9" s="1"/>
  <c r="C27" i="9"/>
  <c r="D27" i="9" s="1"/>
  <c r="C26" i="9"/>
  <c r="D26" i="9" s="1"/>
  <c r="C17" i="9"/>
  <c r="D17" i="9" s="1"/>
  <c r="C24" i="9"/>
  <c r="D24" i="9" s="1"/>
  <c r="C15" i="9"/>
  <c r="D15" i="9" s="1"/>
  <c r="G211" i="36"/>
  <c r="C30" i="9" l="1"/>
  <c r="D10" i="9"/>
  <c r="D30" i="9" s="1"/>
  <c r="D64" i="35"/>
  <c r="G217" i="36" l="1"/>
  <c r="G214" i="36" l="1"/>
  <c r="G210" i="36" s="1"/>
  <c r="G221" i="36" s="1"/>
  <c r="G227" i="36" s="1"/>
  <c r="H217" i="36"/>
  <c r="D65" i="35"/>
  <c r="D63" i="35" s="1"/>
  <c r="D66" i="35" s="1"/>
  <c r="H214" i="36" l="1"/>
  <c r="H210" i="36" s="1"/>
  <c r="H221" i="36" s="1"/>
  <c r="H227" i="36" s="1"/>
  <c r="I217" i="36"/>
  <c r="I214" i="36" s="1"/>
  <c r="I210" i="36" s="1"/>
  <c r="I221" i="36" s="1"/>
  <c r="I227" i="36" s="1"/>
  <c r="F65" i="35"/>
  <c r="F63" i="35" s="1"/>
  <c r="F66" i="35" s="1"/>
  <c r="E65" i="35" l="1"/>
  <c r="E63" i="35" s="1"/>
  <c r="E66" i="35" s="1"/>
  <c r="D68" i="35" l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распр по бюджету респ</t>
        </r>
      </text>
    </comment>
  </commentList>
</comments>
</file>

<file path=xl/sharedStrings.xml><?xml version="1.0" encoding="utf-8"?>
<sst xmlns="http://schemas.openxmlformats.org/spreadsheetml/2006/main" count="1803" uniqueCount="627">
  <si>
    <t xml:space="preserve"> </t>
  </si>
  <si>
    <t>Итого:</t>
  </si>
  <si>
    <t>(тыс.)</t>
  </si>
  <si>
    <t>№ п/п</t>
  </si>
  <si>
    <t>Код по КБК</t>
  </si>
  <si>
    <t>Наименование доходов</t>
  </si>
  <si>
    <t>Сумма</t>
  </si>
  <si>
    <t>182 101 02000 01 0000 110</t>
  </si>
  <si>
    <t xml:space="preserve">Налог на доходы физических лиц 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</si>
  <si>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</si>
  <si>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</si>
  <si>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</si>
  <si>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</si>
  <si>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</si>
  <si>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</si>
  <si>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</si>
  <si>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</si>
  <si>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</si>
  <si>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</si>
  <si>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</si>
  <si>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</si>
  <si>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</si>
  <si>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</si>
  <si>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</si>
  <si>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Итого налоговые и неналоговые доходы:</t>
  </si>
  <si>
    <t>Фонд финансовой поддержки муниципального района</t>
  </si>
  <si>
    <t>Субсидии</t>
  </si>
  <si>
    <t>в том числе:</t>
  </si>
  <si>
    <t>на обеспечение питания учащихся 1-4 классов</t>
  </si>
  <si>
    <t>Субвенция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</si>
  <si>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</si>
  <si>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расходы на выплату единовременного пособия при всех формах устройства детей в семью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</si>
  <si>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</si>
  <si>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Иные межбюджетные трансферты</t>
  </si>
  <si>
    <t>Всего доходов:</t>
  </si>
  <si>
    <t>Наименование</t>
  </si>
  <si>
    <t>2</t>
  </si>
  <si>
    <t>Общегосударственные вопросы</t>
  </si>
  <si>
    <t>11</t>
  </si>
  <si>
    <t>Иные субсидии</t>
  </si>
  <si>
    <t>Национальная экономика</t>
  </si>
  <si>
    <t>Жилищно-коммунальное хозяйство</t>
  </si>
  <si>
    <t>Социальная политика</t>
  </si>
  <si>
    <t>10</t>
  </si>
  <si>
    <t>Доплаты к пенсиям муниципальных служащих</t>
  </si>
  <si>
    <t>Физическая культура</t>
  </si>
  <si>
    <t>Средства массовой информации</t>
  </si>
  <si>
    <t>ИТОГО:</t>
  </si>
  <si>
    <t>1</t>
  </si>
  <si>
    <t>3</t>
  </si>
  <si>
    <t>4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</si>
  <si>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</si>
  <si>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</si>
  <si>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>МР "Ботлихский район"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</si>
  <si>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</si>
  <si>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</si>
  <si>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</si>
  <si>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</si>
  <si>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</si>
  <si>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</si>
  <si>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</si>
  <si>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</si>
  <si>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</si>
  <si>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</si>
  <si>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</si>
  <si>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</si>
  <si>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</si>
  <si>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</si>
  <si>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</si>
  <si>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</si>
  <si>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</si>
  <si>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>Итого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</si>
  <si>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</si>
  <si>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</si>
  <si>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</si>
  <si>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</si>
  <si>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</si>
  <si>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</si>
  <si>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</si>
  <si>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</si>
  <si>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</si>
  <si>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</si>
  <si>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</si>
  <si>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</si>
  <si>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</si>
  <si>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</si>
  <si>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</si>
  <si>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</si>
  <si>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</si>
  <si>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</si>
  <si>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</si>
  <si>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</si>
  <si>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</si>
  <si>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</si>
  <si>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</si>
  <si>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</si>
  <si>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</si>
  <si>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</si>
  <si>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r>
      <t xml:space="preserve">Расходы     </t>
    </r>
    <r>
      <rPr>
        <b/>
        <i/>
        <sz val="10"/>
        <rFont val="Times New Roman"/>
        <family val="1"/>
        <charset val="204"/>
      </rPr>
      <t>(руб.)</t>
    </r>
  </si>
  <si>
    <t>1.</t>
  </si>
  <si>
    <t>2.</t>
  </si>
  <si>
    <t>Доплаты ветеранам и другой категории населения за особые заслуги перед районом</t>
  </si>
  <si>
    <t>СМЕТА доходов и расходов</t>
  </si>
  <si>
    <t>Доходы местного бюджета</t>
  </si>
  <si>
    <t>Наименования поселений</t>
  </si>
  <si>
    <t>Распределение средств Районного фонда ФФПП (объем дотации поселениям)</t>
  </si>
  <si>
    <t>5</t>
  </si>
  <si>
    <t>Наименование статей расходов</t>
  </si>
  <si>
    <t>сумма</t>
  </si>
  <si>
    <t>На выполнение муниципального задания</t>
  </si>
  <si>
    <t xml:space="preserve">                                                                              Сумма                                                                </t>
  </si>
  <si>
    <t>6</t>
  </si>
  <si>
    <t>7</t>
  </si>
  <si>
    <t>8</t>
  </si>
  <si>
    <t xml:space="preserve">Ботлих </t>
  </si>
  <si>
    <t>Всего:</t>
  </si>
  <si>
    <t xml:space="preserve">Субвенции </t>
  </si>
  <si>
    <t>по общеобразовательным и дошкольным учреждениям муниципального района "Ботлихский район" 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</si>
  <si>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</si>
  <si>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</si>
  <si>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</si>
  <si>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</si>
  <si>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</si>
  <si>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Прочие услуги (квартир. по команд. Расходам педагог-х работни-в при прохождении повыш. квалифи.) (226)</t>
  </si>
  <si>
    <t>На оказание услуг учебного характера     (226)</t>
  </si>
  <si>
    <t xml:space="preserve">Прочая за-купка това-ров, работ и услуг для
 обеспечения муниципальных нужд (310)  </t>
  </si>
  <si>
    <t xml:space="preserve">Прочая за-купка това-ров, работ и услуг для
 обеспечения муниципальных нужд (340)  </t>
  </si>
  <si>
    <t>Технического персонала</t>
  </si>
  <si>
    <t>Итого школы:</t>
  </si>
  <si>
    <t>Итого ясли-сады:</t>
  </si>
  <si>
    <t xml:space="preserve">      Группы кратковременного пребывания (ясли) на базе:</t>
  </si>
  <si>
    <t>Итого Гр. кратк. пр-я.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</si>
  <si>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</si>
  <si>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</si>
  <si>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(руб.)</t>
  </si>
  <si>
    <t>количество учащихся 1-4 классов</t>
  </si>
  <si>
    <t xml:space="preserve">  </t>
  </si>
  <si>
    <t>(тыс. руб.)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</si>
  <si>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</si>
  <si>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</si>
  <si>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</si>
  <si>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</si>
  <si>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</si>
  <si>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</si>
  <si>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</si>
  <si>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</si>
  <si>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</si>
  <si>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</si>
  <si>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</si>
  <si>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</si>
  <si>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</si>
  <si>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</si>
  <si>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</si>
  <si>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</si>
  <si>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</si>
  <si>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</si>
  <si>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</si>
  <si>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</si>
  <si>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</si>
  <si>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</si>
  <si>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</si>
  <si>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</si>
  <si>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</si>
  <si>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</si>
  <si>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</si>
  <si>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</si>
  <si>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</si>
  <si>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</si>
  <si>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</si>
  <si>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</si>
  <si>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</si>
  <si>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</si>
  <si>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</si>
  <si>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</si>
  <si>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</si>
  <si>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</si>
  <si>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</si>
  <si>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</si>
  <si>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</si>
  <si>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в %</t>
  </si>
  <si>
    <t>2022 г</t>
  </si>
  <si>
    <t>Дотация</t>
  </si>
  <si>
    <t>на поддержку муниципальных программ формирования городской среды</t>
  </si>
  <si>
    <t>на обеспечение разового питания учащихся 1-4 классов общеобразовательных учреждений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</si>
  <si>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</si>
  <si>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</si>
  <si>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</si>
  <si>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</si>
  <si>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</si>
  <si>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</si>
  <si>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2022 год</t>
  </si>
  <si>
    <t>Субсидии на поддержку муниципальных программ формирования городской среды</t>
  </si>
  <si>
    <t>Субвенция на осуществление полномочий по проведению всероссийской переписи населения 2021 года</t>
  </si>
  <si>
    <t>Наименование работ</t>
  </si>
  <si>
    <t xml:space="preserve">Трансп. Усл. (проез по ком. расх) Госстандарт. на проезд педработн. до места прохожд. повыш. Квалифик. (222)  </t>
  </si>
  <si>
    <t>Администра-тивного персонала</t>
  </si>
  <si>
    <t>Педагогичес-кого персонала</t>
  </si>
  <si>
    <t>Учебно-вспомога-тельного персонала</t>
  </si>
  <si>
    <t>МКДОУ "Золотой ключик" задолженность 2019 г</t>
  </si>
  <si>
    <t>Смета</t>
  </si>
  <si>
    <t>доходов и расходов муниципального дорожного фонда</t>
  </si>
  <si>
    <t>Доходы - всего:</t>
  </si>
  <si>
    <t>Акцизы на нефтепродукты, подлежащие к зачислению в местный бюджет</t>
  </si>
  <si>
    <t>РАСХОДЫ - 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</si>
  <si>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</si>
  <si>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 (вновь начинаемые объекты).</t>
  </si>
  <si>
    <t>3.</t>
  </si>
  <si>
    <t xml:space="preserve">Капитальный ремонт и ремонт автомобильных дорог и сооружений на них общего пользования местного значения </t>
  </si>
  <si>
    <t>На выплату единовременного пособия при всех формах устройства детей в семью</t>
  </si>
  <si>
    <t>На выплату пособий на детей сирот</t>
  </si>
  <si>
    <t>На обеспечение детей-сирот жилыми помещениями</t>
  </si>
  <si>
    <t>Наименование муниципальных бюджетных учреждений и виды расходов</t>
  </si>
  <si>
    <t>ДЮСШ с. Анди</t>
  </si>
  <si>
    <t>на персонифицированное финансирование</t>
  </si>
  <si>
    <t>ДЮСШ с. Ансалта</t>
  </si>
  <si>
    <t>ДЮСШ с. Ботлих</t>
  </si>
  <si>
    <t>ДЮСШ с. Тлох</t>
  </si>
  <si>
    <t>Итого на выполнение муниципального задания</t>
  </si>
  <si>
    <t>Итого на иные субсидии</t>
  </si>
  <si>
    <t>Всего на внешкольные МБУ</t>
  </si>
  <si>
    <t>2023 г</t>
  </si>
  <si>
    <t>992 202 01001 05 0000 150</t>
  </si>
  <si>
    <t>992 202 02999 05 0000 150</t>
  </si>
  <si>
    <t>992 202 25555 05 0000 150</t>
  </si>
  <si>
    <t>992 202 03024 05 0000 150</t>
  </si>
  <si>
    <t>992 202 03027 05 0000 150</t>
  </si>
  <si>
    <t>992 202 03026 05 0000 150</t>
  </si>
  <si>
    <t>992 202 03029 05 0000 150</t>
  </si>
  <si>
    <t>992 202 03020 05 0000 150</t>
  </si>
  <si>
    <t>001 202 03024 05 0000 150</t>
  </si>
  <si>
    <t>992 202 03015 05 0000 150</t>
  </si>
  <si>
    <t>2023 год</t>
  </si>
  <si>
    <t>на обеспечение бесплатным двухразовым питанием (завтрак обед) обучающихся с ограниченными возможностями здоровья, том числе детей инвалидов, осваивающие основные общеобразовательные программы на дому</t>
  </si>
  <si>
    <t>992 202 30021 05 0000 150</t>
  </si>
  <si>
    <t>Расходы на обеспечение выплат ежемесячного денежного вознаграждения за классное руководство педагогическим работникам общеобразовательных организаций (школ)</t>
  </si>
  <si>
    <t>Гранты поселениям</t>
  </si>
  <si>
    <t>На приобретение услуг связи (интернет) (221)</t>
  </si>
  <si>
    <t>Субсидии на обеспечение двух разовым питанием</t>
  </si>
  <si>
    <t xml:space="preserve"> (завтрак и обед) обучающихся с ограниченными возможностями здоровья, </t>
  </si>
  <si>
    <t xml:space="preserve">в том числе детей-инвалидов, осваивающих общеобразовательные </t>
  </si>
  <si>
    <t xml:space="preserve">программы на дому муниципальных общеобразовательных  учреждений </t>
  </si>
  <si>
    <t>количество учащихся на домаш-нем обу-чении</t>
  </si>
  <si>
    <t>Гранты по виду 613</t>
  </si>
  <si>
    <t>Гранты по виду 623</t>
  </si>
  <si>
    <t>Гранты по виду 633</t>
  </si>
  <si>
    <t>Гранты по виду 813</t>
  </si>
  <si>
    <t>Итого по грантам</t>
  </si>
  <si>
    <t>Субвенция за выполнения функции классного руководства</t>
  </si>
  <si>
    <t>Колич-во классов</t>
  </si>
  <si>
    <t>Расходы на классное руководство</t>
  </si>
  <si>
    <t>ИТОГО ФОНД</t>
  </si>
  <si>
    <t>211 статья</t>
  </si>
  <si>
    <t>213 статья</t>
  </si>
  <si>
    <t>2023год</t>
  </si>
  <si>
    <t>Расходы, всего</t>
  </si>
  <si>
    <t>2024 г</t>
  </si>
  <si>
    <t>182 105 04020 02 1000 110</t>
  </si>
  <si>
    <t>Налог взимаемый в связи с применением патентной системы налогооблажения</t>
  </si>
  <si>
    <t>Доходы от сдачи в аренду имущества, находящегося в собственности муниципального района</t>
  </si>
  <si>
    <t>165 114 13050 05 1000 410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</si>
  <si>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</si>
  <si>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992 202 25519 05 0000 150</t>
  </si>
  <si>
    <t>на модернизацию библиотек в части комплектования книжных фондов</t>
  </si>
  <si>
    <t>на 2021 г по КЦ</t>
  </si>
  <si>
    <t>Уточненный план на 2021 год по состоянию на 01.12.2021 г.</t>
  </si>
  <si>
    <t>Отчет на 01.12.2021г.</t>
  </si>
  <si>
    <t>2024 год</t>
  </si>
  <si>
    <t>Налоговый потенциал определенный комиссией</t>
  </si>
  <si>
    <t>Налоги и неналоговые доходы поселений района на 2022 год и на плановый период 2023-2024 годов МР "Ботлихский район"</t>
  </si>
  <si>
    <t xml:space="preserve">НДФЛ </t>
  </si>
  <si>
    <t xml:space="preserve">Налог на имущество </t>
  </si>
  <si>
    <t xml:space="preserve">Земельный налог   </t>
  </si>
  <si>
    <t xml:space="preserve">ЕСХ   </t>
  </si>
  <si>
    <t>дотац 2022</t>
  </si>
  <si>
    <t>дотация на повышение оплаты труда работников культуры поселений</t>
  </si>
  <si>
    <t>субсидии поселениям</t>
  </si>
  <si>
    <t>комфортная среда</t>
  </si>
  <si>
    <t>вус</t>
  </si>
  <si>
    <t>контр за 2021 г</t>
  </si>
  <si>
    <t>отк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</si>
  <si>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2022 год  и на плановый период 2023 - 2024 годов</t>
  </si>
  <si>
    <t>?</t>
  </si>
  <si>
    <t>насел</t>
  </si>
  <si>
    <t>дот за 2021</t>
  </si>
  <si>
    <t>откл против с 2021 г</t>
  </si>
  <si>
    <t>собст доходы посел налоги + дот</t>
  </si>
  <si>
    <t>Защищенные статьи расходов за 2021 г</t>
  </si>
  <si>
    <t>Остаток на другие статьи расх</t>
  </si>
  <si>
    <t>Средний на одного жителя</t>
  </si>
  <si>
    <t>2021</t>
  </si>
  <si>
    <t>на сбалансирование бюджета</t>
  </si>
  <si>
    <t>из республиканского бюджета</t>
  </si>
  <si>
    <t>к/ц на 2021</t>
  </si>
  <si>
    <t xml:space="preserve"> ( руб.)</t>
  </si>
  <si>
    <t>1.5. утв ген планов и т. д.  (0401)</t>
  </si>
  <si>
    <t>1.2. Дорожная деятельность (0409)</t>
  </si>
  <si>
    <t>1.3. созд. Услов. для жил / строя (0501)</t>
  </si>
  <si>
    <t>1.1.  (водоснабжение, водоотведение 0502)</t>
  </si>
  <si>
    <t>1.1.  1.4.  1.6. электро, тепло, газо сн.,  ритуаль. усл., сбор и вывоз быт. отх. (0503)</t>
  </si>
  <si>
    <t>Субсидия с республиканского бюджета 95%</t>
  </si>
  <si>
    <t>Софинансирование местного бюджета 5%</t>
  </si>
  <si>
    <t>Благоустройство общественной площадки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</si>
  <si>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2022 год и на плановый период 2023 - 2024 годов</t>
  </si>
  <si>
    <t>КЦ</t>
  </si>
  <si>
    <t>откл</t>
  </si>
  <si>
    <t>кц:</t>
  </si>
  <si>
    <t>Школы</t>
  </si>
  <si>
    <t>Ясли</t>
  </si>
  <si>
    <r>
      <t xml:space="preserve">Откл: </t>
    </r>
    <r>
      <rPr>
        <i/>
        <sz val="10"/>
        <rFont val="Times New Roman"/>
        <family val="1"/>
        <charset val="204"/>
      </rPr>
      <t>Школы</t>
    </r>
  </si>
  <si>
    <r>
      <t xml:space="preserve">          </t>
    </r>
    <r>
      <rPr>
        <i/>
        <sz val="10"/>
        <rFont val="Times New Roman"/>
        <family val="1"/>
        <charset val="204"/>
      </rPr>
      <t>Ясли</t>
    </r>
  </si>
  <si>
    <t>МР "Ботлихский район" на 2022 и плановый период 2023 - 2024 годов.</t>
  </si>
  <si>
    <t>сумма на 2022 год</t>
  </si>
  <si>
    <t>к/ц МФ</t>
  </si>
  <si>
    <t xml:space="preserve"> на 2022 и плановый период 2023 - 2024 годов</t>
  </si>
  <si>
    <t>2024год</t>
  </si>
  <si>
    <t>нехватает -372114</t>
  </si>
  <si>
    <t>МР "Ботлихский район" на 2022 год</t>
  </si>
  <si>
    <t xml:space="preserve">Объем бюджетных ассигнований на исполнение  публичных нормативных обязательств в 2022 год и на плановый период 2023 - 2024 годов  </t>
  </si>
  <si>
    <t>Субсидии МБУ "Централизованная бухгалтерия" на 2022 г</t>
  </si>
  <si>
    <t>Субсидии МБУ (Внешкольные учреждения) на 2022 г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</si>
  <si>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</si>
  <si>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</si>
  <si>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 xml:space="preserve"> на 2022 год и на плановый период 2023 - 2024 годов.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</si>
  <si>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</si>
  <si>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</si>
  <si>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</si>
  <si>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</si>
  <si>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</si>
  <si>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</si>
  <si>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        </t>
  </si>
  <si>
    <t>04</t>
  </si>
  <si>
    <t>Составление (изменение и дополнение) списков кандидатов в присяжные заседатели</t>
  </si>
  <si>
    <t>05</t>
  </si>
  <si>
    <t>Обеспечение деятельности финансовых.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</si>
  <si>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</si>
  <si>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</si>
  <si>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</si>
  <si>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</si>
  <si>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</si>
  <si>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</si>
  <si>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</si>
  <si>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</si>
  <si>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</si>
  <si>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</si>
  <si>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</si>
  <si>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</si>
  <si>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</si>
  <si>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</si>
  <si>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</si>
  <si>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</si>
  <si>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</si>
  <si>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</si>
  <si>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</si>
  <si>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</si>
  <si>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</si>
  <si>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</si>
  <si>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</si>
  <si>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</si>
  <si>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</si>
  <si>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</si>
  <si>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</si>
  <si>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</si>
  <si>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</si>
  <si>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</si>
  <si>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</si>
  <si>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Внешкольное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</si>
  <si>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</si>
  <si>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</si>
  <si>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</si>
  <si>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</si>
  <si>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</si>
  <si>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</si>
  <si>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</si>
  <si>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</si>
  <si>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</si>
  <si>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</si>
  <si>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</si>
  <si>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</si>
  <si>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</si>
  <si>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</si>
  <si>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</si>
  <si>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</si>
  <si>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</si>
  <si>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</si>
  <si>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</si>
  <si>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</si>
  <si>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</si>
  <si>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ИТОГО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</si>
  <si>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</si>
  <si>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</si>
  <si>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расходов   на 2022 год и на плановый период 2023 - 2024 годов. </t>
  </si>
  <si>
    <t>Ведом-ство</t>
  </si>
  <si>
    <t>Раздел</t>
  </si>
  <si>
    <t>Подраздел</t>
  </si>
  <si>
    <t>Целевая статья</t>
  </si>
  <si>
    <t>Вид рас-ходов</t>
  </si>
  <si>
    <t>Администрация МР "Ботлихский район"</t>
  </si>
  <si>
    <t>001</t>
  </si>
  <si>
    <t>00</t>
  </si>
  <si>
    <t>Функционирование высшего должностного лица   муниципального района</t>
  </si>
  <si>
    <t>Глава муниципального района</t>
  </si>
  <si>
    <t>99 000 10010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</si>
  <si>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</si>
  <si>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</si>
  <si>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муниципальных нужд</t>
  </si>
  <si>
    <t>Функционирование представительных органов муниципального района</t>
  </si>
  <si>
    <t>Районное Собрание</t>
  </si>
  <si>
    <t>99 000 10020</t>
  </si>
  <si>
    <t>Функционирование исполнительной власти муниципального района</t>
  </si>
  <si>
    <t>АМР "Ботлихский район"</t>
  </si>
  <si>
    <t>99 000 10040</t>
  </si>
  <si>
    <t>Уплата налогов, сборов и иных платежей</t>
  </si>
  <si>
    <t>99 800 51200</t>
  </si>
  <si>
    <t>Обеспечение деятельности финансовых органов и органов контроля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</si>
  <si>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</si>
  <si>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</si>
  <si>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</si>
  <si>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</si>
  <si>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</si>
  <si>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99 000 10070</t>
  </si>
  <si>
    <t>Резервные фонды местных администраций</t>
  </si>
  <si>
    <t>Резервные средства</t>
  </si>
  <si>
    <t>Другие общегосударственные расходы</t>
  </si>
  <si>
    <t>Всероссийская перепись населения</t>
  </si>
  <si>
    <t>99 800 54690</t>
  </si>
  <si>
    <t>Комитет по управлению имуществом (КУМИ)</t>
  </si>
  <si>
    <t>99 000 00000</t>
  </si>
  <si>
    <r>
      <t xml:space="preserve">Расходы на выплаты персоналу государственных (муниципальных) органов </t>
    </r>
    <r>
      <rPr>
        <b/>
        <sz val="10"/>
        <rFont val="Times New Roman"/>
        <family val="1"/>
        <charset val="204"/>
      </rPr>
      <t xml:space="preserve"> </t>
    </r>
  </si>
  <si>
    <t>120</t>
  </si>
  <si>
    <t>Капитальные вложения в объекты муниципальной собственности</t>
  </si>
  <si>
    <t>Осуществление полномочий РД по созданию и организации деятельности административных комиссий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</si>
  <si>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</si>
  <si>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</si>
  <si>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</si>
  <si>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</si>
  <si>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</si>
  <si>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МКУ "Хозяйственная служба"</t>
  </si>
  <si>
    <t>99 000 90500</t>
  </si>
  <si>
    <t>МБУ "Централизованная Бухгалтерия"</t>
  </si>
  <si>
    <t>Субсидии бюдж учр-м на выполнение муниципального задания</t>
  </si>
  <si>
    <t>99 000 90600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</si>
  <si>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</si>
  <si>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</si>
  <si>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</si>
  <si>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</si>
  <si>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Муниципальная программа "Защита населения и территории от ЧС и обеспечение пожарной безопасности"</t>
  </si>
  <si>
    <t>01 000 00000</t>
  </si>
  <si>
    <t>Создание и совершенствование системы оповещения населения района</t>
  </si>
  <si>
    <t>01 201 10040</t>
  </si>
  <si>
    <t>240</t>
  </si>
  <si>
    <t>Обеспечение мероприятий по гражданской обороне</t>
  </si>
  <si>
    <t>01 301 10040</t>
  </si>
  <si>
    <t>Единая Дежурно-Диспетчерская Служба</t>
  </si>
  <si>
    <t>Расходы на выплаты персоналу казенных учреждений</t>
  </si>
  <si>
    <t>99 000 60300</t>
  </si>
  <si>
    <t>99 000 40060</t>
  </si>
  <si>
    <t xml:space="preserve">Сельское хозяйство  </t>
  </si>
  <si>
    <t>300</t>
  </si>
  <si>
    <t>Управление сельского хозяйства АМР "Ботлихский район"</t>
  </si>
  <si>
    <t>Содержание и отлов безнадзорных животных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</si>
  <si>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</si>
  <si>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</si>
  <si>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</si>
  <si>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Субвенции на содержание, ремонт и строительство автомобильных дорог общего пользования и местного значения</t>
  </si>
  <si>
    <t>Иные субсидии (Содержание, ремонт и строительство автомобильных дорог общего пользования и местного значения).</t>
  </si>
  <si>
    <t>Резерв ассигнований дорожного фонда</t>
  </si>
  <si>
    <t>99 000 40070</t>
  </si>
  <si>
    <t>350</t>
  </si>
  <si>
    <t>99 000 400 10</t>
  </si>
  <si>
    <t>99 000 40010</t>
  </si>
  <si>
    <t>9900040200</t>
  </si>
  <si>
    <t>Управление образования АМР "Ботлихский район"</t>
  </si>
  <si>
    <t>400</t>
  </si>
  <si>
    <t>Дошкольное образование*</t>
  </si>
  <si>
    <t>00 000 00000</t>
  </si>
  <si>
    <t>01 103 70010</t>
  </si>
  <si>
    <t>Работы по выводу сигналов автоматических установок пожарной автоматики на пульты управления пожарных подразделений и монтаж системы "Тревожная кнопка".</t>
  </si>
  <si>
    <t>19 101 06590</t>
  </si>
  <si>
    <t>110</t>
  </si>
  <si>
    <t>99 000 70010</t>
  </si>
  <si>
    <t>01 103 70020</t>
  </si>
  <si>
    <t>Школы - детские сады, школы начальные, неполные средние и средние общие*</t>
  </si>
  <si>
    <t>19 202 06590</t>
  </si>
  <si>
    <t>19 202 02590</t>
  </si>
  <si>
    <t>99 000 70020</t>
  </si>
  <si>
    <t>Расходы на вознаграждение за выполнение функции классного руководства</t>
  </si>
  <si>
    <t>19202R3030</t>
  </si>
  <si>
    <t xml:space="preserve">Учреждения по внешкольной работе с детьми </t>
  </si>
  <si>
    <r>
      <t>Учреж. по внеш. работе с детьми (</t>
    </r>
    <r>
      <rPr>
        <b/>
        <sz val="10"/>
        <rFont val="Times New Roman"/>
        <family val="1"/>
        <charset val="204"/>
      </rPr>
      <t>спортзалы</t>
    </r>
    <r>
      <rPr>
        <sz val="10"/>
        <rFont val="Times New Roman"/>
        <family val="1"/>
      </rPr>
      <t>) *</t>
    </r>
  </si>
  <si>
    <t>9900070030</t>
  </si>
  <si>
    <t>99 000 70030</t>
  </si>
  <si>
    <t>МБУ "Свод ДЮСШ и РЦДОД и Ю"</t>
  </si>
  <si>
    <t>Персонифицированное финансирование</t>
  </si>
  <si>
    <t>99 000 700П30</t>
  </si>
  <si>
    <t>Прочие мероприятия по молодежной политике</t>
  </si>
  <si>
    <t>99 000 70050</t>
  </si>
  <si>
    <t>Аппарат Управления образования</t>
  </si>
  <si>
    <t>Информационно-методический центр, хозяйственная  служба управления образования *</t>
  </si>
  <si>
    <t>99 000 70040</t>
  </si>
  <si>
    <t>МКУ Управление культуры МР "Ботлихский район"</t>
  </si>
  <si>
    <t>450</t>
  </si>
  <si>
    <t>99 000 80000</t>
  </si>
  <si>
    <t>Культура, кинематография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</si>
  <si>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</si>
  <si>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</si>
  <si>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</si>
  <si>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</si>
  <si>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</si>
  <si>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МКУ "Историко-краеведческий музей" МР "Ботлихский район"</t>
  </si>
  <si>
    <t>99 000 80030</t>
  </si>
  <si>
    <t>99 000 90000</t>
  </si>
  <si>
    <t>99 000 90010</t>
  </si>
  <si>
    <t>Социальное обеспеч-е и иные выплаты населению</t>
  </si>
  <si>
    <t>Прочие мероприятия в области социальной политики</t>
  </si>
  <si>
    <t>99 000 90020</t>
  </si>
  <si>
    <t>223 000 00000</t>
  </si>
  <si>
    <t>на устройство детей в семью</t>
  </si>
  <si>
    <t>2230752600</t>
  </si>
  <si>
    <t>на обеспечение жильем детей сирот</t>
  </si>
  <si>
    <t>2250040820</t>
  </si>
  <si>
    <t>246P552170</t>
  </si>
  <si>
    <t>на содержание круглых сирот</t>
  </si>
  <si>
    <t>2230781520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</si>
  <si>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</si>
  <si>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</si>
  <si>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</si>
  <si>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</si>
  <si>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</si>
  <si>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</si>
  <si>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</si>
  <si>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</si>
  <si>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</si>
  <si>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</si>
  <si>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</si>
  <si>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</si>
  <si>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</si>
  <si>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</si>
  <si>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</si>
  <si>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</si>
  <si>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Обслуживание муниципального долга (возврат) проценты.</t>
  </si>
  <si>
    <t>99 000 00920</t>
  </si>
  <si>
    <t xml:space="preserve">Межбюджетные трансферты </t>
  </si>
  <si>
    <t>Дотации на выравнивание бюджетной обеспеченности поселений</t>
  </si>
  <si>
    <t>26 101 60010</t>
  </si>
  <si>
    <t>Дотации на повышение оплаты труда работников культуры</t>
  </si>
  <si>
    <t>Иные дотация на обеспечение сбалансированности бюджетов</t>
  </si>
  <si>
    <t>99 000 60100</t>
  </si>
  <si>
    <t>Субсидии поселениям на программу городская ср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</si>
  <si>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</si>
  <si>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</si>
  <si>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</si>
  <si>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</si>
  <si>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на софинансирование поселений</t>
  </si>
  <si>
    <t xml:space="preserve">Гранты на поддержку малого и среднего предпринимательства </t>
  </si>
  <si>
    <t>контр</t>
  </si>
  <si>
    <r>
      <t xml:space="preserve">Примечание:  </t>
    </r>
    <r>
      <rPr>
        <b/>
        <sz val="10"/>
        <rFont val="Times New Roman"/>
        <family val="1"/>
        <charset val="204"/>
      </rPr>
      <t xml:space="preserve"> *</t>
    </r>
    <r>
      <rPr>
        <sz val="10"/>
        <rFont val="Times New Roman"/>
        <family val="1"/>
        <charset val="204"/>
      </rPr>
      <t xml:space="preserve"> см. расшифр. №1 к приложению</t>
    </r>
  </si>
  <si>
    <r>
      <t>**</t>
    </r>
    <r>
      <rPr>
        <sz val="10"/>
        <rFont val="Times New Roman"/>
        <family val="1"/>
        <charset val="204"/>
      </rPr>
      <t xml:space="preserve"> расшифр. №2 к приложению.  </t>
    </r>
  </si>
  <si>
    <t>Бюджет МР "Ботлихский район" на 2022 г.</t>
  </si>
  <si>
    <t>Субсидии бюджетам поселений МР "Ботлихский район" на 2022 г</t>
  </si>
  <si>
    <t>Софинансирование</t>
  </si>
  <si>
    <t>На строительство волейбольной площадки</t>
  </si>
  <si>
    <t>Строительство канализации по ул.Идриса Наиба</t>
  </si>
  <si>
    <t>На строительство водонакопителя</t>
  </si>
  <si>
    <t>Устройство выгребной ямы по ул.Центральная</t>
  </si>
  <si>
    <t>Устройство ветки канализации по ул.Набережная )</t>
  </si>
  <si>
    <t xml:space="preserve">Кап ремонт водопровода в местности "Нацил лъим" </t>
  </si>
  <si>
    <t>Гранты поселений</t>
  </si>
  <si>
    <t>За успехи по социальнно-экономическому развитию сельских территорий</t>
  </si>
  <si>
    <t>На поддержку малого и среднего предпринимательства</t>
  </si>
  <si>
    <t>0505</t>
  </si>
  <si>
    <t>ПРИЛОЖЕНИЕ № 1</t>
  </si>
  <si>
    <t xml:space="preserve">к решению СД МР "Ботлихский район" </t>
  </si>
  <si>
    <r>
      <t xml:space="preserve">Дотация на содержание прочего персонала </t>
    </r>
    <r>
      <rPr>
        <b/>
        <sz val="12"/>
        <rFont val="Times New Roman"/>
        <family val="1"/>
        <charset val="204"/>
      </rPr>
      <t xml:space="preserve">дошкольных </t>
    </r>
    <r>
      <rPr>
        <sz val="12"/>
        <rFont val="Times New Roman"/>
        <family val="1"/>
        <charset val="204"/>
      </rPr>
      <t>образовательных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 дошкольного образования</t>
    </r>
  </si>
  <si>
    <t>Прочие доходы от оказания платных услуг  (МКУ РВК "Ботлих")</t>
  </si>
  <si>
    <t>госстандарт образования</t>
  </si>
  <si>
    <t>госстандарт  дошкольного образования</t>
  </si>
  <si>
    <t>на содержание детей в семье опекунов (пособия на детей).</t>
  </si>
  <si>
    <t>расходы на обеспечение детей-сирот жилимы помещениями</t>
  </si>
  <si>
    <t>ПРИЛОЖЕНИЕ № 2</t>
  </si>
  <si>
    <t>Оценка ожидаемого исполнения бюджета МР "Ботлихский район " за 2021 год</t>
  </si>
  <si>
    <t>Ожидаемое исполнение за 2021 год</t>
  </si>
  <si>
    <t>ПРИЛОЖЕНИЕ № 3</t>
  </si>
  <si>
    <t xml:space="preserve"> на 2022 год и на плановый период 2023 - 2024 годов в бюджет </t>
  </si>
  <si>
    <t xml:space="preserve">  на 2022 год и на плановый период 2023-2024 годов.</t>
  </si>
  <si>
    <t>Объем поступлений доходов бюджета МР "Ботлихский район"</t>
  </si>
  <si>
    <t xml:space="preserve">                       Сумма                 (тыс. руб.)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</si>
  <si>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</si>
  <si>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</t>
  </si>
  <si>
    <t>2022 г.</t>
  </si>
  <si>
    <t>2023 г.</t>
  </si>
  <si>
    <t>2024 г.</t>
  </si>
  <si>
    <t>Подраз-дел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</si>
  <si>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 местных администраций</t>
  </si>
  <si>
    <t>ПРИЛОЖЕНИЕ № 4</t>
  </si>
  <si>
    <t>ПРИЛОЖЕНИЕ № 5</t>
  </si>
  <si>
    <t>ПРИЛОЖЕНИЕ № 6</t>
  </si>
  <si>
    <t>ПРИЛОЖЕНИЕ № 8</t>
  </si>
  <si>
    <t>ПРИЛОЖЕНИЕ № 9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</si>
  <si>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                                                                                      на 2022 год и на плановый период 2023 - 2024 годов</t>
  </si>
  <si>
    <t>ПРИЛОЖЕНИЕ № 10</t>
  </si>
  <si>
    <t>Субсидии бюджетам поселений МР "Ботлихский район"                                                                                                                                                                                                                                      на софинансирование программы "Мой Дагестан - комфортная городская среда" на 2022 г. и на плановый период 2023-2024 годов</t>
  </si>
  <si>
    <t>ПРИЛОЖЕНИЕ № 11</t>
  </si>
  <si>
    <t>ПРИЛОЖЕНИЕ № 12</t>
  </si>
  <si>
    <t>к решению СД МР "Ботлихский район"</t>
  </si>
  <si>
    <t>для реализации общеобразовательных и дошкольных программ на 2022 год и на плановый период 2023-2024 годов</t>
  </si>
  <si>
    <t>ПРИЛОЖЕНИЕ № 13</t>
  </si>
  <si>
    <t>ПРИЛОЖЕНИЕ № 14</t>
  </si>
  <si>
    <t>ПРИЛОЖЕНИЕ № 15</t>
  </si>
  <si>
    <t>ПРИЛОЖЕНИЕ № 16</t>
  </si>
  <si>
    <t xml:space="preserve"> резервного фонда бюджета МР "Ботлихский район"</t>
  </si>
  <si>
    <t>на 2022 г. и на плановый период 2023 - 2024 годов</t>
  </si>
  <si>
    <t>ПРИЛОЖЕНИЕ № 17</t>
  </si>
  <si>
    <t>ПРИЛОЖЕНИЕ № 18</t>
  </si>
  <si>
    <t>ПРИЛОЖЕНИЕ № 19</t>
  </si>
  <si>
    <t>ПРИЛОЖЕНИЕ № 20</t>
  </si>
  <si>
    <t>ПРИЛОЖЕНИЕ № 21</t>
  </si>
  <si>
    <t>Районный центр ДОДЮ с. Ботлих</t>
  </si>
  <si>
    <t>ПРИЛОЖЕНИЕ № 22</t>
  </si>
  <si>
    <t xml:space="preserve"> на строительство подпорной стены у кладбища </t>
  </si>
  <si>
    <t>На завершение водоотводной канализаци ул.Шоссейная 488т.р, на завершение канализации от ул.Шоссейной до дома Абдулмуъминова до дома Магомедгаджиевой-554т.р)</t>
  </si>
  <si>
    <t>Кап ремонт канализации от детского сада до оврага с устройством Шамбо 600т.р,  строительство Шамбо 300т.р</t>
  </si>
  <si>
    <t>Субсидии МБУ "УЖКХ" на 2022 г.</t>
  </si>
  <si>
    <t>на строительство канализации в с. Шодрода</t>
  </si>
  <si>
    <t xml:space="preserve"> от 28 декабря 2021 г. №19 </t>
  </si>
  <si>
    <t xml:space="preserve"> от 28 декабря 2021 г. №19</t>
  </si>
  <si>
    <t>от 28 декабря 2021 г. №19</t>
  </si>
  <si>
    <t xml:space="preserve">от 28 декабря 2021 г. №19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</si>
</sst>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"/>
    <numFmt numFmtId="166" formatCode="0.0"/>
    <numFmt numFmtId="167" formatCode="0.000"/>
    <numFmt numFmtId="168" formatCode="0.0000"/>
  </numFmts>
  <fonts count="6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b/>
      <sz val="8"/>
      <name val="Arial Cyr"/>
      <charset val="204"/>
    </font>
    <font>
      <sz val="9"/>
      <name val="Times New Roman"/>
      <family val="1"/>
    </font>
    <font>
      <b/>
      <i/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Arial Cyr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color indexed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1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8" fillId="4" borderId="0" applyNumberFormat="0" applyBorder="0" applyAlignment="0" applyProtection="0"/>
    <xf numFmtId="0" fontId="54" fillId="0" borderId="0"/>
  </cellStyleXfs>
  <cellXfs count="63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3" fontId="0" fillId="0" borderId="0" xfId="0" applyNumberFormat="1" applyBorder="1"/>
    <xf numFmtId="0" fontId="3" fillId="0" borderId="0" xfId="0" applyFont="1" applyBorder="1"/>
    <xf numFmtId="0" fontId="7" fillId="2" borderId="0" xfId="0" applyFont="1" applyFill="1" applyBorder="1"/>
    <xf numFmtId="0" fontId="0" fillId="0" borderId="0" xfId="0" applyBorder="1"/>
    <xf numFmtId="3" fontId="0" fillId="0" borderId="1" xfId="0" applyNumberFormat="1" applyBorder="1"/>
    <xf numFmtId="3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Fill="1" applyBorder="1"/>
    <xf numFmtId="0" fontId="3" fillId="2" borderId="1" xfId="0" applyFont="1" applyFill="1" applyBorder="1"/>
    <xf numFmtId="0" fontId="7" fillId="0" borderId="1" xfId="0" applyFont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3" fontId="3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3" fontId="3" fillId="2" borderId="0" xfId="0" applyNumberFormat="1" applyFont="1" applyFill="1"/>
    <xf numFmtId="0" fontId="2" fillId="0" borderId="1" xfId="0" applyFont="1" applyFill="1" applyBorder="1" applyAlignment="1">
      <alignment vertical="justify" wrapText="1"/>
    </xf>
    <xf numFmtId="0" fontId="20" fillId="0" borderId="1" xfId="0" applyFont="1" applyFill="1" applyBorder="1" applyAlignment="1">
      <alignment vertical="justify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1" xfId="0" applyFont="1" applyFill="1" applyBorder="1" applyAlignment="1">
      <alignment vertical="justify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20" fillId="2" borderId="1" xfId="0" applyFont="1" applyFill="1" applyBorder="1" applyAlignment="1">
      <alignment vertical="justify" wrapText="1"/>
    </xf>
    <xf numFmtId="0" fontId="0" fillId="2" borderId="0" xfId="0" applyFill="1"/>
    <xf numFmtId="0" fontId="16" fillId="2" borderId="1" xfId="0" applyFont="1" applyFill="1" applyBorder="1" applyAlignment="1">
      <alignment vertical="top" wrapText="1"/>
    </xf>
    <xf numFmtId="0" fontId="22" fillId="0" borderId="0" xfId="0" applyFont="1" applyAlignment="1">
      <alignment wrapText="1"/>
    </xf>
    <xf numFmtId="0" fontId="16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justify" wrapText="1"/>
    </xf>
    <xf numFmtId="0" fontId="24" fillId="2" borderId="1" xfId="0" applyFont="1" applyFill="1" applyBorder="1"/>
    <xf numFmtId="165" fontId="13" fillId="2" borderId="1" xfId="0" applyNumberFormat="1" applyFont="1" applyFill="1" applyBorder="1" applyAlignment="1"/>
    <xf numFmtId="164" fontId="20" fillId="2" borderId="1" xfId="0" applyNumberFormat="1" applyFont="1" applyFill="1" applyBorder="1" applyAlignment="1"/>
    <xf numFmtId="164" fontId="23" fillId="2" borderId="1" xfId="0" applyNumberFormat="1" applyFont="1" applyFill="1" applyBorder="1"/>
    <xf numFmtId="0" fontId="18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7" fillId="0" borderId="0" xfId="0" applyFont="1" applyBorder="1"/>
    <xf numFmtId="0" fontId="27" fillId="0" borderId="0" xfId="0" applyFont="1"/>
    <xf numFmtId="0" fontId="7" fillId="0" borderId="21" xfId="0" applyFont="1" applyBorder="1" applyAlignment="1">
      <alignment horizontal="left"/>
    </xf>
    <xf numFmtId="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/>
    <xf numFmtId="0" fontId="30" fillId="0" borderId="0" xfId="0" applyFont="1"/>
    <xf numFmtId="0" fontId="12" fillId="0" borderId="0" xfId="0" applyFont="1" applyFill="1"/>
    <xf numFmtId="0" fontId="20" fillId="0" borderId="0" xfId="0" applyFont="1" applyFill="1" applyAlignment="1">
      <alignment horizontal="left" vertical="center"/>
    </xf>
    <xf numFmtId="0" fontId="20" fillId="0" borderId="0" xfId="0" applyFont="1"/>
    <xf numFmtId="0" fontId="24" fillId="0" borderId="0" xfId="0" applyFont="1"/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16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0" fontId="32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" fontId="18" fillId="2" borderId="1" xfId="0" applyNumberFormat="1" applyFont="1" applyFill="1" applyBorder="1" applyAlignment="1">
      <alignment horizontal="right" vertical="center"/>
    </xf>
    <xf numFmtId="1" fontId="19" fillId="2" borderId="1" xfId="0" applyNumberFormat="1" applyFont="1" applyFill="1" applyBorder="1"/>
    <xf numFmtId="0" fontId="33" fillId="0" borderId="0" xfId="0" applyFont="1" applyAlignment="1"/>
    <xf numFmtId="0" fontId="1" fillId="0" borderId="0" xfId="0" applyFont="1" applyBorder="1"/>
    <xf numFmtId="0" fontId="1" fillId="0" borderId="0" xfId="0" applyFont="1" applyAlignment="1"/>
    <xf numFmtId="1" fontId="1" fillId="0" borderId="0" xfId="0" applyNumberFormat="1" applyFont="1" applyBorder="1"/>
    <xf numFmtId="0" fontId="15" fillId="0" borderId="22" xfId="0" applyFont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/>
    <xf numFmtId="164" fontId="15" fillId="0" borderId="1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/>
    <xf numFmtId="3" fontId="1" fillId="0" borderId="1" xfId="0" applyNumberFormat="1" applyFont="1" applyBorder="1"/>
    <xf numFmtId="0" fontId="15" fillId="0" borderId="30" xfId="0" applyFont="1" applyBorder="1" applyAlignment="1">
      <alignment horizontal="left" vertical="center" wrapText="1"/>
    </xf>
    <xf numFmtId="3" fontId="15" fillId="0" borderId="1" xfId="0" applyNumberFormat="1" applyFont="1" applyFill="1" applyBorder="1" applyAlignment="1"/>
    <xf numFmtId="0" fontId="7" fillId="0" borderId="0" xfId="0" applyFont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/>
    <xf numFmtId="0" fontId="3" fillId="0" borderId="20" xfId="0" applyFont="1" applyBorder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3" fillId="0" borderId="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Border="1"/>
    <xf numFmtId="3" fontId="3" fillId="0" borderId="0" xfId="0" applyNumberFormat="1" applyFont="1"/>
    <xf numFmtId="3" fontId="7" fillId="2" borderId="1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" fontId="7" fillId="2" borderId="1" xfId="0" applyNumberFormat="1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37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40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center"/>
    </xf>
    <xf numFmtId="0" fontId="41" fillId="0" borderId="0" xfId="0" applyFont="1" applyFill="1" applyAlignment="1">
      <alignment vertical="top"/>
    </xf>
    <xf numFmtId="0" fontId="42" fillId="0" borderId="38" xfId="0" applyFont="1" applyFill="1" applyBorder="1" applyAlignment="1">
      <alignment horizontal="justify" vertical="top" wrapText="1"/>
    </xf>
    <xf numFmtId="3" fontId="13" fillId="0" borderId="11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13" fillId="0" borderId="39" xfId="0" applyFont="1" applyFill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justify" vertical="top" wrapText="1"/>
    </xf>
    <xf numFmtId="3" fontId="16" fillId="0" borderId="24" xfId="0" applyNumberFormat="1" applyFont="1" applyFill="1" applyBorder="1" applyAlignment="1">
      <alignment vertical="top"/>
    </xf>
    <xf numFmtId="3" fontId="16" fillId="0" borderId="32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3" fillId="0" borderId="40" xfId="0" applyNumberFormat="1" applyFont="1" applyFill="1" applyBorder="1" applyAlignment="1">
      <alignment vertical="top"/>
    </xf>
    <xf numFmtId="0" fontId="16" fillId="0" borderId="39" xfId="0" applyFont="1" applyFill="1" applyBorder="1" applyAlignment="1">
      <alignment horizontal="justify" vertical="top" wrapText="1"/>
    </xf>
    <xf numFmtId="3" fontId="16" fillId="0" borderId="1" xfId="0" applyNumberFormat="1" applyFont="1" applyFill="1" applyBorder="1" applyAlignment="1">
      <alignment vertical="top"/>
    </xf>
    <xf numFmtId="3" fontId="16" fillId="0" borderId="40" xfId="0" applyNumberFormat="1" applyFont="1" applyFill="1" applyBorder="1" applyAlignment="1">
      <alignment vertical="top"/>
    </xf>
    <xf numFmtId="0" fontId="43" fillId="0" borderId="0" xfId="0" applyFont="1" applyAlignment="1">
      <alignment vertical="top"/>
    </xf>
    <xf numFmtId="0" fontId="16" fillId="0" borderId="39" xfId="0" applyFont="1" applyBorder="1" applyAlignment="1">
      <alignment horizontal="justify" vertical="top" wrapText="1"/>
    </xf>
    <xf numFmtId="3" fontId="16" fillId="0" borderId="1" xfId="0" applyNumberFormat="1" applyFont="1" applyBorder="1" applyAlignment="1">
      <alignment vertical="top"/>
    </xf>
    <xf numFmtId="3" fontId="16" fillId="0" borderId="40" xfId="0" applyNumberFormat="1" applyFont="1" applyBorder="1" applyAlignment="1">
      <alignment vertical="top"/>
    </xf>
    <xf numFmtId="0" fontId="13" fillId="0" borderId="4" xfId="0" applyFont="1" applyFill="1" applyBorder="1" applyAlignment="1">
      <alignment horizontal="justify" vertical="top" wrapText="1"/>
    </xf>
    <xf numFmtId="3" fontId="13" fillId="0" borderId="24" xfId="0" applyNumberFormat="1" applyFont="1" applyFill="1" applyBorder="1" applyAlignment="1">
      <alignment vertical="top"/>
    </xf>
    <xf numFmtId="3" fontId="43" fillId="0" borderId="0" xfId="0" applyNumberFormat="1" applyFont="1" applyFill="1" applyBorder="1" applyAlignment="1">
      <alignment vertical="top"/>
    </xf>
    <xf numFmtId="3" fontId="13" fillId="0" borderId="32" xfId="0" applyNumberFormat="1" applyFont="1" applyFill="1" applyBorder="1" applyAlignment="1">
      <alignment vertical="top"/>
    </xf>
    <xf numFmtId="0" fontId="13" fillId="0" borderId="39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41" xfId="0" applyFont="1" applyFill="1" applyBorder="1" applyAlignment="1">
      <alignment horizontal="justify" vertical="top" wrapText="1"/>
    </xf>
    <xf numFmtId="3" fontId="13" fillId="0" borderId="6" xfId="0" applyNumberFormat="1" applyFont="1" applyFill="1" applyBorder="1" applyAlignment="1">
      <alignment vertical="top"/>
    </xf>
    <xf numFmtId="3" fontId="13" fillId="0" borderId="42" xfId="0" applyNumberFormat="1" applyFont="1" applyFill="1" applyBorder="1" applyAlignment="1">
      <alignment vertical="top"/>
    </xf>
    <xf numFmtId="0" fontId="13" fillId="0" borderId="39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justify" vertical="top" wrapText="1"/>
    </xf>
    <xf numFmtId="3" fontId="13" fillId="0" borderId="24" xfId="0" applyNumberFormat="1" applyFont="1" applyBorder="1" applyAlignment="1">
      <alignment vertical="top"/>
    </xf>
    <xf numFmtId="3" fontId="13" fillId="0" borderId="32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0" fontId="42" fillId="0" borderId="39" xfId="0" applyFont="1" applyBorder="1" applyAlignment="1">
      <alignment horizontal="justify" vertical="top" wrapText="1"/>
    </xf>
    <xf numFmtId="3" fontId="13" fillId="0" borderId="1" xfId="0" applyNumberFormat="1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13" fillId="0" borderId="39" xfId="0" applyFont="1" applyBorder="1" applyAlignment="1">
      <alignment horizontal="justify" vertical="top" wrapText="1"/>
    </xf>
    <xf numFmtId="3" fontId="13" fillId="0" borderId="40" xfId="0" applyNumberFormat="1" applyFont="1" applyBorder="1" applyAlignment="1">
      <alignment vertical="top"/>
    </xf>
    <xf numFmtId="0" fontId="13" fillId="0" borderId="39" xfId="0" applyFont="1" applyBorder="1" applyAlignment="1">
      <alignment horizontal="center" vertical="top"/>
    </xf>
    <xf numFmtId="0" fontId="42" fillId="0" borderId="4" xfId="0" applyFont="1" applyFill="1" applyBorder="1" applyAlignment="1">
      <alignment horizontal="justify" vertical="top" wrapText="1"/>
    </xf>
    <xf numFmtId="0" fontId="13" fillId="0" borderId="39" xfId="0" applyFont="1" applyBorder="1" applyAlignment="1">
      <alignment horizontal="left" vertical="top"/>
    </xf>
    <xf numFmtId="3" fontId="16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right" vertical="center" wrapText="1"/>
    </xf>
    <xf numFmtId="0" fontId="2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/>
    </xf>
    <xf numFmtId="3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/>
    <xf numFmtId="3" fontId="7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1" fontId="46" fillId="2" borderId="1" xfId="0" applyNumberFormat="1" applyFont="1" applyFill="1" applyBorder="1"/>
    <xf numFmtId="3" fontId="46" fillId="2" borderId="1" xfId="0" applyNumberFormat="1" applyFont="1" applyFill="1" applyBorder="1"/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/>
    <xf numFmtId="0" fontId="36" fillId="0" borderId="0" xfId="0" applyFont="1" applyAlignment="1"/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36" fillId="2" borderId="0" xfId="0" applyFont="1" applyFill="1" applyAlignment="1"/>
    <xf numFmtId="3" fontId="46" fillId="2" borderId="1" xfId="0" applyNumberFormat="1" applyFont="1" applyFill="1" applyBorder="1" applyAlignment="1">
      <alignment horizontal="right" vertical="center" wrapText="1"/>
    </xf>
    <xf numFmtId="3" fontId="46" fillId="2" borderId="1" xfId="0" applyNumberFormat="1" applyFont="1" applyFill="1" applyBorder="1" applyAlignment="1">
      <alignment horizontal="right"/>
    </xf>
    <xf numFmtId="0" fontId="0" fillId="0" borderId="1" xfId="0" applyBorder="1"/>
    <xf numFmtId="164" fontId="2" fillId="2" borderId="1" xfId="0" applyNumberFormat="1" applyFont="1" applyFill="1" applyBorder="1" applyAlignment="1"/>
    <xf numFmtId="164" fontId="16" fillId="2" borderId="1" xfId="0" applyNumberFormat="1" applyFont="1" applyFill="1" applyBorder="1" applyAlignment="1"/>
    <xf numFmtId="164" fontId="21" fillId="2" borderId="1" xfId="0" applyNumberFormat="1" applyFont="1" applyFill="1" applyBorder="1" applyAlignment="1">
      <alignment wrapText="1"/>
    </xf>
    <xf numFmtId="167" fontId="2" fillId="2" borderId="1" xfId="0" applyNumberFormat="1" applyFont="1" applyFill="1" applyBorder="1" applyAlignment="1"/>
    <xf numFmtId="165" fontId="20" fillId="2" borderId="1" xfId="0" applyNumberFormat="1" applyFont="1" applyFill="1" applyBorder="1" applyAlignment="1"/>
    <xf numFmtId="0" fontId="16" fillId="0" borderId="1" xfId="0" applyFont="1" applyFill="1" applyBorder="1" applyAlignment="1">
      <alignment vertical="top" wrapText="1"/>
    </xf>
    <xf numFmtId="3" fontId="47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2" borderId="10" xfId="0" applyFont="1" applyFill="1" applyBorder="1"/>
    <xf numFmtId="1" fontId="46" fillId="2" borderId="10" xfId="0" applyNumberFormat="1" applyFont="1" applyFill="1" applyBorder="1"/>
    <xf numFmtId="3" fontId="46" fillId="2" borderId="10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38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164" fontId="49" fillId="0" borderId="0" xfId="0" applyNumberFormat="1" applyFont="1" applyFill="1"/>
    <xf numFmtId="0" fontId="50" fillId="0" borderId="0" xfId="0" applyFont="1" applyFill="1"/>
    <xf numFmtId="4" fontId="7" fillId="0" borderId="0" xfId="0" applyNumberFormat="1" applyFont="1" applyFill="1"/>
    <xf numFmtId="165" fontId="3" fillId="0" borderId="0" xfId="0" applyNumberFormat="1" applyFont="1" applyFill="1"/>
    <xf numFmtId="1" fontId="3" fillId="2" borderId="1" xfId="0" applyNumberFormat="1" applyFont="1" applyFill="1" applyBorder="1" applyAlignment="1"/>
    <xf numFmtId="1" fontId="3" fillId="3" borderId="1" xfId="0" applyNumberFormat="1" applyFont="1" applyFill="1" applyBorder="1" applyAlignment="1"/>
    <xf numFmtId="1" fontId="7" fillId="0" borderId="1" xfId="0" applyNumberFormat="1" applyFont="1" applyFill="1" applyBorder="1" applyAlignment="1"/>
    <xf numFmtId="1" fontId="7" fillId="0" borderId="22" xfId="0" applyNumberFormat="1" applyFont="1" applyBorder="1" applyAlignment="1"/>
    <xf numFmtId="1" fontId="3" fillId="0" borderId="0" xfId="0" applyNumberFormat="1" applyFont="1"/>
    <xf numFmtId="168" fontId="5" fillId="0" borderId="0" xfId="0" applyNumberFormat="1" applyFont="1" applyFill="1" applyBorder="1" applyAlignment="1">
      <alignment horizontal="center"/>
    </xf>
    <xf numFmtId="3" fontId="25" fillId="5" borderId="0" xfId="0" applyNumberFormat="1" applyFont="1" applyFill="1"/>
    <xf numFmtId="3" fontId="6" fillId="5" borderId="0" xfId="0" applyNumberFormat="1" applyFont="1" applyFill="1" applyBorder="1" applyAlignment="1">
      <alignment horizontal="right"/>
    </xf>
    <xf numFmtId="3" fontId="25" fillId="0" borderId="0" xfId="0" applyNumberFormat="1" applyFont="1"/>
    <xf numFmtId="0" fontId="1" fillId="2" borderId="0" xfId="0" applyFont="1" applyFill="1" applyBorder="1"/>
    <xf numFmtId="0" fontId="33" fillId="0" borderId="0" xfId="0" applyFont="1" applyBorder="1" applyAlignment="1"/>
    <xf numFmtId="3" fontId="51" fillId="6" borderId="3" xfId="0" applyNumberFormat="1" applyFont="1" applyFill="1" applyBorder="1"/>
    <xf numFmtId="0" fontId="28" fillId="0" borderId="0" xfId="0" applyFont="1"/>
    <xf numFmtId="0" fontId="0" fillId="2" borderId="0" xfId="0" applyFill="1" applyBorder="1"/>
    <xf numFmtId="3" fontId="0" fillId="0" borderId="0" xfId="0" applyNumberFormat="1" applyFill="1" applyBorder="1"/>
    <xf numFmtId="3" fontId="30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48" fillId="4" borderId="1" xfId="1" applyBorder="1"/>
    <xf numFmtId="1" fontId="48" fillId="4" borderId="1" xfId="1" applyNumberFormat="1" applyBorder="1"/>
    <xf numFmtId="3" fontId="48" fillId="4" borderId="22" xfId="1" applyNumberFormat="1" applyBorder="1" applyAlignment="1"/>
    <xf numFmtId="3" fontId="28" fillId="7" borderId="0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2" borderId="0" xfId="0" applyNumberFormat="1" applyFont="1" applyFill="1" applyBorder="1"/>
    <xf numFmtId="1" fontId="3" fillId="2" borderId="0" xfId="0" applyNumberFormat="1" applyFont="1" applyFill="1" applyBorder="1"/>
    <xf numFmtId="3" fontId="7" fillId="2" borderId="0" xfId="0" applyNumberFormat="1" applyFont="1" applyFill="1" applyBorder="1"/>
    <xf numFmtId="3" fontId="6" fillId="2" borderId="0" xfId="0" applyNumberFormat="1" applyFont="1" applyFill="1"/>
    <xf numFmtId="0" fontId="53" fillId="2" borderId="0" xfId="0" applyFont="1" applyFill="1"/>
    <xf numFmtId="1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1" fontId="6" fillId="2" borderId="0" xfId="0" applyNumberFormat="1" applyFont="1" applyFill="1"/>
    <xf numFmtId="0" fontId="19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2" applyFont="1" applyFill="1" applyProtection="1">
      <protection hidden="1"/>
    </xf>
    <xf numFmtId="0" fontId="16" fillId="0" borderId="0" xfId="2" applyNumberFormat="1" applyFont="1" applyFill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alignment horizontal="center" wrapText="1"/>
      <protection hidden="1"/>
    </xf>
    <xf numFmtId="0" fontId="3" fillId="0" borderId="0" xfId="2" applyNumberFormat="1" applyFont="1" applyFill="1" applyAlignment="1" applyProtection="1">
      <alignment horizontal="center" vertical="top" wrapText="1"/>
      <protection hidden="1"/>
    </xf>
    <xf numFmtId="0" fontId="3" fillId="0" borderId="0" xfId="2" applyNumberFormat="1" applyFont="1" applyFill="1" applyAlignment="1" applyProtection="1">
      <alignment horizontal="left" vertical="top" wrapText="1"/>
      <protection hidden="1"/>
    </xf>
    <xf numFmtId="0" fontId="13" fillId="8" borderId="0" xfId="0" applyFont="1" applyFill="1" applyBorder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3" fontId="7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shrinkToFit="1"/>
    </xf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15" fillId="0" borderId="1" xfId="0" applyFont="1" applyFill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shrinkToFit="1"/>
    </xf>
    <xf numFmtId="3" fontId="1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3" fontId="7" fillId="0" borderId="0" xfId="0" applyNumberFormat="1" applyFont="1" applyFill="1"/>
    <xf numFmtId="3" fontId="3" fillId="0" borderId="0" xfId="0" applyNumberFormat="1" applyFont="1" applyFill="1"/>
    <xf numFmtId="3" fontId="55" fillId="0" borderId="1" xfId="0" applyNumberFormat="1" applyFont="1" applyFill="1" applyBorder="1"/>
    <xf numFmtId="3" fontId="56" fillId="0" borderId="1" xfId="0" applyNumberFormat="1" applyFont="1" applyFill="1" applyBorder="1"/>
    <xf numFmtId="0" fontId="7" fillId="0" borderId="28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Fill="1" applyAlignment="1"/>
    <xf numFmtId="0" fontId="16" fillId="0" borderId="0" xfId="0" applyFont="1" applyFill="1"/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/>
    <xf numFmtId="164" fontId="57" fillId="0" borderId="1" xfId="0" applyNumberFormat="1" applyFont="1" applyFill="1" applyBorder="1"/>
    <xf numFmtId="0" fontId="13" fillId="0" borderId="1" xfId="0" applyFont="1" applyFill="1" applyBorder="1" applyAlignment="1">
      <alignment horizontal="left" vertical="center" wrapText="1"/>
    </xf>
    <xf numFmtId="164" fontId="58" fillId="0" borderId="1" xfId="0" applyNumberFormat="1" applyFont="1" applyFill="1" applyBorder="1"/>
    <xf numFmtId="165" fontId="58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7" fontId="57" fillId="0" borderId="1" xfId="0" applyNumberFormat="1" applyFont="1" applyFill="1" applyBorder="1"/>
    <xf numFmtId="49" fontId="16" fillId="0" borderId="1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/>
    <xf numFmtId="167" fontId="16" fillId="0" borderId="1" xfId="0" applyNumberFormat="1" applyFont="1" applyFill="1" applyBorder="1" applyAlignment="1">
      <alignment horizontal="right"/>
    </xf>
    <xf numFmtId="167" fontId="58" fillId="0" borderId="1" xfId="0" applyNumberFormat="1" applyFont="1" applyFill="1" applyBorder="1"/>
    <xf numFmtId="0" fontId="13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49" fontId="16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167" fontId="57" fillId="0" borderId="1" xfId="0" applyNumberFormat="1" applyFont="1" applyFill="1" applyBorder="1" applyAlignment="1"/>
    <xf numFmtId="167" fontId="16" fillId="0" borderId="1" xfId="0" applyNumberFormat="1" applyFont="1" applyFill="1" applyBorder="1" applyAlignment="1"/>
    <xf numFmtId="0" fontId="16" fillId="0" borderId="0" xfId="0" applyFont="1" applyFill="1" applyAlignment="1"/>
    <xf numFmtId="0" fontId="16" fillId="0" borderId="0" xfId="0" applyFont="1" applyFill="1" applyAlignment="1">
      <alignment horizontal="center"/>
    </xf>
    <xf numFmtId="0" fontId="13" fillId="0" borderId="43" xfId="0" applyFont="1" applyFill="1" applyBorder="1" applyAlignment="1">
      <alignment horizontal="justify" vertical="top" wrapText="1"/>
    </xf>
    <xf numFmtId="164" fontId="13" fillId="0" borderId="27" xfId="0" applyNumberFormat="1" applyFont="1" applyFill="1" applyBorder="1" applyAlignment="1">
      <alignment vertical="top"/>
    </xf>
    <xf numFmtId="0" fontId="13" fillId="0" borderId="0" xfId="0" applyFont="1" applyAlignment="1">
      <alignment horizontal="right" vertical="top"/>
    </xf>
    <xf numFmtId="0" fontId="16" fillId="0" borderId="1" xfId="0" applyFont="1" applyBorder="1" applyAlignment="1">
      <alignment horizontal="center" vertical="justify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60" fillId="2" borderId="1" xfId="0" applyFont="1" applyFill="1" applyBorder="1"/>
    <xf numFmtId="0" fontId="20" fillId="0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3" fillId="8" borderId="1" xfId="0" applyNumberFormat="1" applyFont="1" applyFill="1" applyBorder="1" applyAlignment="1">
      <alignment horizontal="left" vertical="top" wrapText="1"/>
    </xf>
    <xf numFmtId="0" fontId="13" fillId="8" borderId="1" xfId="0" applyFont="1" applyFill="1" applyBorder="1" applyAlignment="1">
      <alignment horizontal="center" vertical="top" shrinkToFit="1"/>
    </xf>
    <xf numFmtId="3" fontId="13" fillId="8" borderId="1" xfId="0" applyNumberFormat="1" applyFont="1" applyFill="1" applyBorder="1" applyAlignment="1">
      <alignment horizontal="center" vertical="top"/>
    </xf>
    <xf numFmtId="3" fontId="13" fillId="8" borderId="1" xfId="0" applyNumberFormat="1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horizontal="left" vertical="top" wrapText="1"/>
    </xf>
    <xf numFmtId="0" fontId="16" fillId="8" borderId="1" xfId="0" applyFont="1" applyFill="1" applyBorder="1" applyAlignment="1">
      <alignment horizontal="center" vertical="top" shrinkToFit="1"/>
    </xf>
    <xf numFmtId="0" fontId="16" fillId="8" borderId="1" xfId="0" applyFont="1" applyFill="1" applyBorder="1" applyAlignment="1">
      <alignment horizontal="center" vertical="top"/>
    </xf>
    <xf numFmtId="3" fontId="16" fillId="8" borderId="1" xfId="0" applyNumberFormat="1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vertical="center" shrinkToFit="1"/>
    </xf>
    <xf numFmtId="0" fontId="13" fillId="8" borderId="1" xfId="0" applyFont="1" applyFill="1" applyBorder="1" applyAlignment="1">
      <alignment horizontal="left" vertical="top" wrapText="1"/>
    </xf>
    <xf numFmtId="49" fontId="16" fillId="8" borderId="1" xfId="0" applyNumberFormat="1" applyFont="1" applyFill="1" applyBorder="1" applyAlignment="1">
      <alignment horizontal="center" vertical="top" shrinkToFit="1"/>
    </xf>
    <xf numFmtId="49" fontId="16" fillId="8" borderId="1" xfId="0" applyNumberFormat="1" applyFont="1" applyFill="1" applyBorder="1" applyAlignment="1">
      <alignment horizontal="center" vertical="top"/>
    </xf>
    <xf numFmtId="4" fontId="16" fillId="8" borderId="1" xfId="0" applyNumberFormat="1" applyFont="1" applyFill="1" applyBorder="1" applyAlignment="1">
      <alignment vertical="center" shrinkToFit="1"/>
    </xf>
    <xf numFmtId="49" fontId="13" fillId="8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/>
    <xf numFmtId="0" fontId="13" fillId="3" borderId="1" xfId="0" applyFont="1" applyFill="1" applyBorder="1" applyAlignment="1">
      <alignment horizontal="center" vertical="center" textRotation="90" wrapText="1"/>
    </xf>
    <xf numFmtId="3" fontId="61" fillId="0" borderId="1" xfId="0" applyNumberFormat="1" applyFont="1" applyBorder="1" applyAlignment="1">
      <alignment vertical="center"/>
    </xf>
    <xf numFmtId="0" fontId="3" fillId="8" borderId="0" xfId="0" applyFont="1" applyFill="1" applyBorder="1"/>
    <xf numFmtId="0" fontId="3" fillId="8" borderId="0" xfId="0" applyFont="1" applyFill="1"/>
    <xf numFmtId="0" fontId="62" fillId="0" borderId="0" xfId="0" applyFont="1"/>
    <xf numFmtId="0" fontId="61" fillId="0" borderId="1" xfId="0" applyFont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49" fontId="34" fillId="6" borderId="0" xfId="0" applyNumberFormat="1" applyFont="1" applyFill="1" applyBorder="1" applyAlignment="1">
      <alignment horizontal="center" vertical="center" wrapText="1"/>
    </xf>
    <xf numFmtId="0" fontId="51" fillId="6" borderId="6" xfId="0" applyFont="1" applyFill="1" applyBorder="1"/>
    <xf numFmtId="0" fontId="51" fillId="6" borderId="0" xfId="0" applyFont="1" applyFill="1" applyBorder="1"/>
    <xf numFmtId="0" fontId="51" fillId="6" borderId="1" xfId="0" applyFont="1" applyFill="1" applyBorder="1"/>
    <xf numFmtId="0" fontId="52" fillId="6" borderId="6" xfId="0" applyFont="1" applyFill="1" applyBorder="1"/>
    <xf numFmtId="0" fontId="1" fillId="6" borderId="3" xfId="0" applyFont="1" applyFill="1" applyBorder="1"/>
    <xf numFmtId="0" fontId="1" fillId="6" borderId="1" xfId="0" applyFont="1" applyFill="1" applyBorder="1"/>
    <xf numFmtId="3" fontId="15" fillId="6" borderId="6" xfId="0" applyNumberFormat="1" applyFont="1" applyFill="1" applyBorder="1" applyAlignment="1">
      <alignment horizontal="right"/>
    </xf>
    <xf numFmtId="1" fontId="51" fillId="6" borderId="6" xfId="0" applyNumberFormat="1" applyFont="1" applyFill="1" applyBorder="1"/>
    <xf numFmtId="3" fontId="51" fillId="6" borderId="1" xfId="0" applyNumberFormat="1" applyFont="1" applyFill="1" applyBorder="1"/>
    <xf numFmtId="3" fontId="1" fillId="6" borderId="6" xfId="0" applyNumberFormat="1" applyFont="1" applyFill="1" applyBorder="1"/>
    <xf numFmtId="3" fontId="1" fillId="6" borderId="3" xfId="0" applyNumberFormat="1" applyFont="1" applyFill="1" applyBorder="1"/>
    <xf numFmtId="4" fontId="1" fillId="6" borderId="1" xfId="0" applyNumberFormat="1" applyFont="1" applyFill="1" applyBorder="1"/>
    <xf numFmtId="3" fontId="15" fillId="6" borderId="22" xfId="0" applyNumberFormat="1" applyFont="1" applyFill="1" applyBorder="1" applyAlignment="1">
      <alignment horizontal="right"/>
    </xf>
    <xf numFmtId="1" fontId="15" fillId="6" borderId="47" xfId="0" applyNumberFormat="1" applyFont="1" applyFill="1" applyBorder="1" applyAlignment="1">
      <alignment horizontal="right"/>
    </xf>
    <xf numFmtId="3" fontId="51" fillId="6" borderId="5" xfId="0" applyNumberFormat="1" applyFont="1" applyFill="1" applyBorder="1"/>
    <xf numFmtId="4" fontId="15" fillId="6" borderId="1" xfId="0" applyNumberFormat="1" applyFont="1" applyFill="1" applyBorder="1"/>
    <xf numFmtId="0" fontId="0" fillId="6" borderId="0" xfId="0" applyFill="1"/>
    <xf numFmtId="0" fontId="3" fillId="6" borderId="0" xfId="0" applyFont="1" applyFill="1"/>
    <xf numFmtId="0" fontId="3" fillId="6" borderId="0" xfId="0" applyFont="1" applyFill="1" applyBorder="1"/>
    <xf numFmtId="0" fontId="0" fillId="6" borderId="1" xfId="0" applyFill="1" applyBorder="1" applyAlignment="1"/>
    <xf numFmtId="0" fontId="0" fillId="6" borderId="11" xfId="0" applyFill="1" applyBorder="1" applyAlignment="1"/>
    <xf numFmtId="0" fontId="0" fillId="6" borderId="0" xfId="0" applyFill="1" applyBorder="1" applyAlignment="1">
      <alignment horizontal="center"/>
    </xf>
    <xf numFmtId="1" fontId="0" fillId="6" borderId="20" xfId="0" applyNumberFormat="1" applyFill="1" applyBorder="1"/>
    <xf numFmtId="1" fontId="0" fillId="6" borderId="10" xfId="0" applyNumberFormat="1" applyFill="1" applyBorder="1"/>
    <xf numFmtId="1" fontId="0" fillId="6" borderId="10" xfId="0" applyNumberFormat="1" applyFont="1" applyFill="1" applyBorder="1"/>
    <xf numFmtId="1" fontId="0" fillId="6" borderId="1" xfId="0" applyNumberFormat="1" applyFill="1" applyBorder="1"/>
    <xf numFmtId="3" fontId="0" fillId="6" borderId="0" xfId="0" applyNumberFormat="1" applyFill="1" applyBorder="1"/>
    <xf numFmtId="3" fontId="0" fillId="6" borderId="0" xfId="0" applyNumberFormat="1" applyFill="1" applyBorder="1" applyAlignment="1">
      <alignment horizontal="right"/>
    </xf>
    <xf numFmtId="1" fontId="0" fillId="6" borderId="3" xfId="0" applyNumberFormat="1" applyFill="1" applyBorder="1"/>
    <xf numFmtId="1" fontId="0" fillId="6" borderId="1" xfId="0" applyNumberFormat="1" applyFont="1" applyFill="1" applyBorder="1"/>
    <xf numFmtId="1" fontId="12" fillId="6" borderId="3" xfId="0" applyNumberFormat="1" applyFont="1" applyFill="1" applyBorder="1"/>
    <xf numFmtId="1" fontId="7" fillId="6" borderId="22" xfId="0" applyNumberFormat="1" applyFont="1" applyFill="1" applyBorder="1" applyAlignment="1"/>
    <xf numFmtId="1" fontId="9" fillId="6" borderId="1" xfId="0" applyNumberFormat="1" applyFont="1" applyFill="1" applyBorder="1"/>
    <xf numFmtId="1" fontId="9" fillId="6" borderId="0" xfId="0" applyNumberFormat="1" applyFont="1" applyFill="1"/>
    <xf numFmtId="1" fontId="0" fillId="6" borderId="0" xfId="0" applyNumberFormat="1" applyFill="1"/>
    <xf numFmtId="3" fontId="0" fillId="6" borderId="0" xfId="0" applyNumberFormat="1" applyFill="1"/>
    <xf numFmtId="0" fontId="3" fillId="0" borderId="0" xfId="0" applyFont="1" applyAlignment="1"/>
    <xf numFmtId="0" fontId="7" fillId="0" borderId="46" xfId="0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left" vertical="center" wrapText="1"/>
    </xf>
    <xf numFmtId="3" fontId="7" fillId="2" borderId="2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62" fillId="0" borderId="1" xfId="0" applyNumberFormat="1" applyFont="1" applyBorder="1"/>
    <xf numFmtId="3" fontId="62" fillId="0" borderId="10" xfId="0" applyNumberFormat="1" applyFont="1" applyBorder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3" fontId="3" fillId="0" borderId="10" xfId="0" applyNumberFormat="1" applyFont="1" applyBorder="1"/>
    <xf numFmtId="49" fontId="63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/>
    <xf numFmtId="0" fontId="62" fillId="0" borderId="0" xfId="0" applyFont="1" applyAlignment="1"/>
    <xf numFmtId="0" fontId="3" fillId="0" borderId="0" xfId="0" applyFont="1" applyAlignment="1">
      <alignment horizontal="center"/>
    </xf>
    <xf numFmtId="0" fontId="35" fillId="0" borderId="0" xfId="0" applyFont="1" applyAlignment="1"/>
    <xf numFmtId="0" fontId="0" fillId="0" borderId="0" xfId="0" applyFont="1"/>
    <xf numFmtId="16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59" fillId="2" borderId="1" xfId="0" applyNumberFormat="1" applyFont="1" applyFill="1" applyBorder="1"/>
    <xf numFmtId="0" fontId="3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/>
    <xf numFmtId="0" fontId="64" fillId="0" borderId="0" xfId="0" applyFont="1" applyAlignment="1"/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/>
    <xf numFmtId="0" fontId="6" fillId="2" borderId="0" xfId="0" applyFont="1" applyFill="1" applyAlignment="1"/>
    <xf numFmtId="0" fontId="28" fillId="0" borderId="0" xfId="0" applyFont="1" applyAlignment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7" fillId="0" borderId="0" xfId="0" applyFont="1"/>
    <xf numFmtId="3" fontId="3" fillId="0" borderId="1" xfId="0" applyNumberFormat="1" applyFont="1" applyBorder="1" applyAlignment="1">
      <alignment horizontal="right"/>
    </xf>
    <xf numFmtId="3" fontId="47" fillId="0" borderId="1" xfId="0" applyNumberFormat="1" applyFont="1" applyBorder="1"/>
    <xf numFmtId="0" fontId="33" fillId="2" borderId="0" xfId="0" applyFont="1" applyFill="1" applyAlignment="1"/>
    <xf numFmtId="0" fontId="65" fillId="0" borderId="0" xfId="0" applyFont="1"/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6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3" fontId="7" fillId="0" borderId="20" xfId="0" applyNumberFormat="1" applyFont="1" applyBorder="1"/>
    <xf numFmtId="0" fontId="3" fillId="0" borderId="1" xfId="0" applyFont="1" applyBorder="1" applyAlignment="1">
      <alignment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/>
    <xf numFmtId="3" fontId="7" fillId="0" borderId="3" xfId="0" applyNumberFormat="1" applyFont="1" applyBorder="1"/>
    <xf numFmtId="3" fontId="7" fillId="0" borderId="3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3" fontId="7" fillId="0" borderId="23" xfId="0" applyNumberFormat="1" applyFont="1" applyBorder="1"/>
    <xf numFmtId="0" fontId="3" fillId="0" borderId="11" xfId="0" applyFont="1" applyBorder="1"/>
    <xf numFmtId="0" fontId="66" fillId="0" borderId="1" xfId="0" applyFont="1" applyBorder="1" applyAlignment="1">
      <alignment wrapText="1"/>
    </xf>
    <xf numFmtId="0" fontId="66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3" fontId="40" fillId="0" borderId="36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31" xfId="0" applyNumberFormat="1" applyFont="1" applyBorder="1" applyAlignment="1">
      <alignment horizontal="center" vertical="center" wrapText="1"/>
    </xf>
    <xf numFmtId="3" fontId="40" fillId="0" borderId="3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40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right" vertical="justify"/>
    </xf>
    <xf numFmtId="0" fontId="17" fillId="0" borderId="7" xfId="0" applyFont="1" applyBorder="1" applyAlignment="1">
      <alignment horizontal="right" vertical="justify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3" fontId="13" fillId="8" borderId="3" xfId="0" applyNumberFormat="1" applyFont="1" applyFill="1" applyBorder="1" applyAlignment="1">
      <alignment horizontal="left" vertical="center"/>
    </xf>
    <xf numFmtId="3" fontId="13" fillId="8" borderId="5" xfId="0" applyNumberFormat="1" applyFont="1" applyFill="1" applyBorder="1" applyAlignment="1">
      <alignment horizontal="left" vertical="center"/>
    </xf>
    <xf numFmtId="3" fontId="13" fillId="8" borderId="6" xfId="0" applyNumberFormat="1" applyFont="1" applyFill="1" applyBorder="1" applyAlignment="1">
      <alignment horizontal="left" vertical="center"/>
    </xf>
    <xf numFmtId="0" fontId="7" fillId="0" borderId="0" xfId="2" applyFont="1" applyFill="1" applyAlignment="1" applyProtection="1">
      <alignment horizont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0" xfId="0" applyNumberFormat="1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164" fontId="34" fillId="6" borderId="26" xfId="0" applyNumberFormat="1" applyFont="1" applyFill="1" applyBorder="1" applyAlignment="1">
      <alignment horizontal="center" vertical="center" wrapText="1"/>
    </xf>
    <xf numFmtId="164" fontId="34" fillId="6" borderId="0" xfId="0" applyNumberFormat="1" applyFont="1" applyFill="1" applyBorder="1" applyAlignment="1">
      <alignment horizontal="center" vertical="center" wrapText="1"/>
    </xf>
    <xf numFmtId="164" fontId="34" fillId="6" borderId="44" xfId="0" applyNumberFormat="1" applyFont="1" applyFill="1" applyBorder="1" applyAlignment="1">
      <alignment horizontal="center" vertical="center" wrapText="1"/>
    </xf>
    <xf numFmtId="164" fontId="34" fillId="6" borderId="7" xfId="0" applyNumberFormat="1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 wrapText="1"/>
    </xf>
    <xf numFmtId="0" fontId="51" fillId="6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2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8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4;&#1072;&#1088;&#1080;&#1087;\Desktop\&#1055;&#1088;&#1086;&#1077;&#1082;&#1090;%20&#1073;&#1102;&#1076;&#1078;&#1077;&#1090;&#1072;%20&#1085;&#1072;%202022&#1075;\&#1055;&#1088;&#1086;&#1077;&#1082;&#1090;%20&#1073;&#1102;&#1076;&#1078;&#1077;&#1090;&#1072;%20&#1085;&#1072;%202022&#1075;\&#1055;&#1088;&#1086;&#1077;&#1082;&#1090;%20&#1073;&#1102;&#1076;&#1078;&#1077;&#1090;&#1072;%20&#1085;&#1072;%202022&#1075;\&#1055;&#1088;&#1086;&#1077;&#1082;&#1090;%20&#1073;&#1102;&#1076;&#1078;&#1077;&#1090;&#1072;%20202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4;&#1072;&#1088;&#1080;&#1087;\Desktop\&#1055;&#1088;&#1086;&#1077;&#1082;&#1090;%20&#1073;&#1102;&#1076;&#1078;&#1077;&#1090;&#1072;%202022%20&#1075;&#1086;&#1076;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Свод бюджета района"/>
      <sheetName val="Экран контр"/>
      <sheetName val="Доходы №1"/>
      <sheetName val="ВСРБМР 5"/>
      <sheetName val="РазПодр №4"/>
      <sheetName val="расшифр 1 к №5"/>
      <sheetName val="Автоакц расш №2 к прил 5"/>
      <sheetName val="Субсид посел №10"/>
      <sheetName val="прилож №13 гостан "/>
      <sheetName val="Оценка №2"/>
      <sheetName val="Муниц прогр №0"/>
      <sheetName val="Аппарат свод"/>
      <sheetName val="МКУ Хозслужба"/>
      <sheetName val="МКУ ЕДДС"/>
      <sheetName val="МКУ &quot;Истор краев музей&quot; АМР "/>
      <sheetName val="МКУ РВК"/>
      <sheetName val="ФУ АМР"/>
      <sheetName val="МКУ ФОК"/>
      <sheetName val="редакция МКУ "/>
      <sheetName val="УСХ"/>
      <sheetName val="МБУ ЦБ"/>
      <sheetName val="МБУ ЖКХ"/>
      <sheetName val="Аппарат свод (контр)  "/>
      <sheetName val="МКУ Хозслужба конт"/>
      <sheetName val="МКУ ЕДДС (контр)"/>
      <sheetName val="МКУ Музей контр"/>
      <sheetName val="МКУ РВК контр"/>
      <sheetName val="ФУ АМР (контр)"/>
      <sheetName val="МКУ ФОК конт"/>
      <sheetName val="Редакция  (контр)"/>
      <sheetName val="УСХ контр"/>
      <sheetName val="межбюд тран.№3"/>
      <sheetName val="смета резер 17"/>
      <sheetName val="Смета дох и расх по дор фон №18"/>
      <sheetName val="Публ. объяз 19"/>
      <sheetName val="МБУ ЦБ прил  №20"/>
      <sheetName val="МБУ ЖКХ прил №22"/>
      <sheetName val="МБУ ЖКХ контр обн"/>
      <sheetName val="Свод образ"/>
      <sheetName val="Свод образ (контр)"/>
      <sheetName val="Расц"/>
      <sheetName val="ясли сады"/>
      <sheetName val="псих"/>
      <sheetName val="Гр кратк пребыв"/>
      <sheetName val="Внешколь учр МБУ"/>
      <sheetName val="ДЮСШ и РЦДОД и Ю МБУ"/>
      <sheetName val="МБУ внеш учр прил  №21"/>
      <sheetName val="Свод культ"/>
      <sheetName val="Свод культ контр"/>
      <sheetName val="Сводсоцпол"/>
      <sheetName val="СШ (контр)"/>
      <sheetName val="СШ (контр) по программе)"/>
      <sheetName val="ООШ НШ контр по программе"/>
      <sheetName val="ООШ НШ (контр)  "/>
      <sheetName val="ясли сады (контр)"/>
      <sheetName val="ясли сады (контр) по программе"/>
      <sheetName val="коэфф зарплаты"/>
      <sheetName val="Бюдж расх посел"/>
      <sheetName val="ВУС 12"/>
      <sheetName val="Субс посел на город среду 11"/>
      <sheetName val="Полож дотац"/>
      <sheetName val="Расчет дотации"/>
      <sheetName val="Расч дот РФФПП"/>
      <sheetName val="Дотация пос 8"/>
      <sheetName val="Налоги посел 6"/>
      <sheetName val="Субв пос на перед полн №9"/>
      <sheetName val="Алак"/>
      <sheetName val=" Анди "/>
      <sheetName val="Ансалта"/>
      <sheetName val=" Ашали"/>
      <sheetName val=" Ботлих "/>
      <sheetName val="Гагатли"/>
      <sheetName val="Годобери"/>
      <sheetName val=" Зило "/>
      <sheetName val="Инхело "/>
      <sheetName val="Кванхидатли"/>
      <sheetName val="Кижани"/>
      <sheetName val="Миарсо "/>
      <sheetName val="Муни"/>
      <sheetName val="Рахата"/>
      <sheetName val="Риквани "/>
      <sheetName val="Тандо"/>
      <sheetName val="Тлох"/>
      <sheetName val="Хелетури"/>
      <sheetName val="Чанко "/>
      <sheetName val="Шодрода "/>
      <sheetName val="Итого поселений"/>
      <sheetName val="Алак проект"/>
      <sheetName val=" Анди проект"/>
      <sheetName val="Ансалта проект"/>
      <sheetName val=" Ашали проект"/>
      <sheetName val=" Ботлих проект"/>
      <sheetName val="Гагатли проект"/>
      <sheetName val="Годобери проект"/>
      <sheetName val=" Зило проект"/>
      <sheetName val="Инхело проект"/>
      <sheetName val="Кванхидатли проект"/>
      <sheetName val="Кижани проект"/>
      <sheetName val="Миарсо проект"/>
      <sheetName val="Муни проект"/>
      <sheetName val="Рахата проект"/>
      <sheetName val="Риквани проект"/>
      <sheetName val="Тандо проект"/>
      <sheetName val="Тлох проект"/>
      <sheetName val="Хелетури проект"/>
      <sheetName val="Чанко проект"/>
      <sheetName val="Шодрода проект"/>
      <sheetName val="Итого поселений проект"/>
      <sheetName val="Прил №15  Пит уча 1 4кл "/>
      <sheetName val="прил №16 классное руководство"/>
      <sheetName val="прил №14  пит уч на дом обуч"/>
      <sheetName val="учительство  "/>
      <sheetName val="Школы"/>
      <sheetName val="Свод педнагрузка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штат"/>
      <sheetName val="Свод школ"/>
      <sheetName val="Алак СОШ "/>
      <sheetName val="Анди СОШ №1"/>
      <sheetName val="Анди СОШ №2"/>
      <sheetName val="Ансалта СОШ "/>
      <sheetName val="Ашали ООШ "/>
      <sheetName val="БСШ №1 "/>
      <sheetName val="БСШ №2 "/>
      <sheetName val="БСШ №3 "/>
      <sheetName val="Гагатли СОШ "/>
      <sheetName val="Годобери СОШ "/>
      <sheetName val="Зило СОШ "/>
      <sheetName val="Кванхидатли ООШ "/>
      <sheetName val="Миарсо СОШ "/>
      <sheetName val="Муни СОШ "/>
      <sheetName val="Ортоколо СОШ "/>
      <sheetName val="Рахата СОШ "/>
      <sheetName val="Риквани СОШ "/>
      <sheetName val="Тандо СОШ "/>
      <sheetName val="Тасута ООШ "/>
      <sheetName val="Тлох СОШ "/>
      <sheetName val="Хелетури СОШ "/>
      <sheetName val="Чанко СОШ "/>
      <sheetName val="Шодрода СОШ "/>
      <sheetName val="Инхело ООШ "/>
      <sheetName val="Кижани ООШ "/>
      <sheetName val=" Беледи НОШ "/>
      <sheetName val="В-Алак НОШ "/>
      <sheetName val="Гунха НОШ "/>
      <sheetName val="Зибирхали НОШ "/>
      <sheetName val="Н-Алак НОШ "/>
      <sheetName val="Шиворта НОШ "/>
    </sheetNames>
    <sheetDataSet>
      <sheetData sheetId="0" refreshError="1"/>
      <sheetData sheetId="1">
        <row r="102">
          <cell r="G102">
            <v>9273000</v>
          </cell>
        </row>
        <row r="106">
          <cell r="G106">
            <v>8999999.5211810004</v>
          </cell>
        </row>
      </sheetData>
      <sheetData sheetId="2"/>
      <sheetData sheetId="3">
        <row r="17">
          <cell r="E17">
            <v>26096.6</v>
          </cell>
        </row>
        <row r="30">
          <cell r="E30">
            <v>241144</v>
          </cell>
          <cell r="F30">
            <v>185985</v>
          </cell>
          <cell r="G30">
            <v>185985</v>
          </cell>
        </row>
        <row r="36">
          <cell r="E36">
            <v>8087.4160000000002</v>
          </cell>
          <cell r="F36">
            <v>8087.4160000000002</v>
          </cell>
          <cell r="G36">
            <v>8895.06</v>
          </cell>
        </row>
        <row r="37">
          <cell r="E37">
            <v>29706.878000000001</v>
          </cell>
          <cell r="F37">
            <v>29706.878000000001</v>
          </cell>
          <cell r="G37">
            <v>29706.878000000001</v>
          </cell>
        </row>
        <row r="38">
          <cell r="E38">
            <v>1792.2339999999999</v>
          </cell>
          <cell r="F38">
            <v>1792.2339999999999</v>
          </cell>
          <cell r="G38">
            <v>0</v>
          </cell>
        </row>
        <row r="41">
          <cell r="E41">
            <v>494213</v>
          </cell>
          <cell r="F41">
            <v>494213</v>
          </cell>
          <cell r="G41">
            <v>494213</v>
          </cell>
        </row>
        <row r="42">
          <cell r="E42">
            <v>121170</v>
          </cell>
          <cell r="F42">
            <v>121170</v>
          </cell>
          <cell r="G42">
            <v>121170</v>
          </cell>
        </row>
        <row r="43">
          <cell r="E43">
            <v>2317</v>
          </cell>
          <cell r="F43">
            <v>2410</v>
          </cell>
          <cell r="G43">
            <v>2506</v>
          </cell>
        </row>
        <row r="44">
          <cell r="E44">
            <v>1350</v>
          </cell>
          <cell r="F44">
            <v>1350</v>
          </cell>
          <cell r="G44">
            <v>1350</v>
          </cell>
        </row>
        <row r="45">
          <cell r="E45">
            <v>1505.4</v>
          </cell>
          <cell r="F45">
            <v>1505.4</v>
          </cell>
          <cell r="G45">
            <v>1505.4</v>
          </cell>
        </row>
        <row r="46">
          <cell r="E46">
            <v>0</v>
          </cell>
          <cell r="F46">
            <v>0</v>
          </cell>
          <cell r="G46">
            <v>0</v>
          </cell>
        </row>
        <row r="48">
          <cell r="E48">
            <v>58.4</v>
          </cell>
          <cell r="F48">
            <v>58.4</v>
          </cell>
          <cell r="G48">
            <v>58.4</v>
          </cell>
        </row>
        <row r="49">
          <cell r="E49">
            <v>35688.078000000001</v>
          </cell>
          <cell r="F49">
            <v>35688.078000000001</v>
          </cell>
          <cell r="G49">
            <v>38382.277999999998</v>
          </cell>
        </row>
        <row r="50">
          <cell r="E50">
            <v>101126</v>
          </cell>
          <cell r="F50">
            <v>80901</v>
          </cell>
          <cell r="G50">
            <v>80901</v>
          </cell>
        </row>
        <row r="51">
          <cell r="E51">
            <v>170</v>
          </cell>
          <cell r="F51">
            <v>0</v>
          </cell>
          <cell r="G51">
            <v>0</v>
          </cell>
        </row>
        <row r="52">
          <cell r="E52">
            <v>3109</v>
          </cell>
          <cell r="F52">
            <v>3220</v>
          </cell>
          <cell r="G52">
            <v>3325</v>
          </cell>
        </row>
        <row r="53">
          <cell r="E53">
            <v>372</v>
          </cell>
          <cell r="F53">
            <v>387</v>
          </cell>
          <cell r="G53">
            <v>397</v>
          </cell>
        </row>
        <row r="54">
          <cell r="E54">
            <v>746</v>
          </cell>
          <cell r="F54">
            <v>772</v>
          </cell>
          <cell r="G54">
            <v>793</v>
          </cell>
        </row>
        <row r="55">
          <cell r="E55">
            <v>744</v>
          </cell>
          <cell r="F55">
            <v>772</v>
          </cell>
          <cell r="G55">
            <v>793</v>
          </cell>
        </row>
        <row r="56">
          <cell r="E56">
            <v>61.2</v>
          </cell>
          <cell r="F56">
            <v>2.65</v>
          </cell>
          <cell r="G56">
            <v>2.35</v>
          </cell>
        </row>
        <row r="59">
          <cell r="E59">
            <v>1189704.706</v>
          </cell>
          <cell r="F59">
            <v>1115350.456</v>
          </cell>
          <cell r="G59">
            <v>1118354.3660000002</v>
          </cell>
        </row>
      </sheetData>
      <sheetData sheetId="4">
        <row r="10">
          <cell r="G10">
            <v>1865603.0876800001</v>
          </cell>
        </row>
        <row r="14">
          <cell r="G14">
            <v>2065424.3235199999</v>
          </cell>
          <cell r="H14">
            <v>2065424.3235199999</v>
          </cell>
          <cell r="I14">
            <v>2065424.3235199999</v>
          </cell>
        </row>
        <row r="18">
          <cell r="G18">
            <v>15380982.457759999</v>
          </cell>
          <cell r="H18">
            <v>15380982.457759999</v>
          </cell>
          <cell r="I18">
            <v>15380982.457759999</v>
          </cell>
        </row>
        <row r="23">
          <cell r="G23">
            <v>61200</v>
          </cell>
          <cell r="H23">
            <v>2650</v>
          </cell>
          <cell r="I23">
            <v>2350</v>
          </cell>
        </row>
        <row r="25">
          <cell r="G25">
            <v>7593270.7257599998</v>
          </cell>
          <cell r="H25">
            <v>7583270.7257599998</v>
          </cell>
          <cell r="I25">
            <v>7583270.7257599998</v>
          </cell>
        </row>
        <row r="35">
          <cell r="G35">
            <v>2500000</v>
          </cell>
          <cell r="H35">
            <v>2500000</v>
          </cell>
          <cell r="I35">
            <v>2500000</v>
          </cell>
        </row>
        <row r="38">
          <cell r="G38">
            <v>11996208.339199999</v>
          </cell>
          <cell r="H38">
            <v>11996208.339199999</v>
          </cell>
          <cell r="I38">
            <v>11996208.339199999</v>
          </cell>
        </row>
        <row r="67">
          <cell r="G67">
            <v>0</v>
          </cell>
          <cell r="H67">
            <v>0</v>
          </cell>
          <cell r="I67">
            <v>0</v>
          </cell>
        </row>
        <row r="70">
          <cell r="G70">
            <v>4349248.0707200002</v>
          </cell>
          <cell r="H70">
            <v>4349248.0707200002</v>
          </cell>
          <cell r="I70">
            <v>4349248.0707200002</v>
          </cell>
        </row>
        <row r="80">
          <cell r="G80">
            <v>0</v>
          </cell>
          <cell r="H80">
            <v>0</v>
          </cell>
          <cell r="I80">
            <v>0</v>
          </cell>
        </row>
        <row r="82">
          <cell r="G82">
            <v>2872583.1817600001</v>
          </cell>
          <cell r="H82">
            <v>2872583.1817600001</v>
          </cell>
          <cell r="I82">
            <v>2872583.1817600001</v>
          </cell>
        </row>
        <row r="88">
          <cell r="G88">
            <v>26096600</v>
          </cell>
          <cell r="H88">
            <v>41827600</v>
          </cell>
          <cell r="I88">
            <v>10365600</v>
          </cell>
        </row>
        <row r="94">
          <cell r="G94">
            <v>907677</v>
          </cell>
        </row>
        <row r="95">
          <cell r="G95">
            <v>9218763</v>
          </cell>
        </row>
        <row r="96">
          <cell r="G96">
            <v>5572860</v>
          </cell>
          <cell r="H96">
            <v>5572860</v>
          </cell>
          <cell r="I96">
            <v>5572860</v>
          </cell>
        </row>
        <row r="97">
          <cell r="H97">
            <v>0</v>
          </cell>
        </row>
        <row r="99">
          <cell r="G99">
            <v>8846043</v>
          </cell>
        </row>
        <row r="100">
          <cell r="G100">
            <v>0</v>
          </cell>
        </row>
        <row r="103">
          <cell r="G103">
            <v>211003393.5425652</v>
          </cell>
          <cell r="H103">
            <v>191463554.63956517</v>
          </cell>
          <cell r="I103">
            <v>223989305.63956517</v>
          </cell>
        </row>
        <row r="113">
          <cell r="G113">
            <v>611982774.90711999</v>
          </cell>
          <cell r="H113">
            <v>587199068.48311996</v>
          </cell>
          <cell r="I113">
            <v>594789725.68711996</v>
          </cell>
        </row>
        <row r="126">
          <cell r="G126">
            <v>78764830</v>
          </cell>
        </row>
        <row r="136">
          <cell r="G136">
            <v>0</v>
          </cell>
          <cell r="H136">
            <v>0</v>
          </cell>
          <cell r="I136">
            <v>0</v>
          </cell>
        </row>
        <row r="139">
          <cell r="G139">
            <v>9812820.2060400005</v>
          </cell>
          <cell r="H139">
            <v>9812820.2060400005</v>
          </cell>
          <cell r="I139">
            <v>9812820.2060400005</v>
          </cell>
        </row>
        <row r="150">
          <cell r="G150">
            <v>29919012.8116</v>
          </cell>
          <cell r="H150">
            <v>29919012.8116</v>
          </cell>
          <cell r="I150">
            <v>29919012.8116</v>
          </cell>
        </row>
        <row r="164">
          <cell r="G164">
            <v>2297796</v>
          </cell>
          <cell r="H164">
            <v>2297796</v>
          </cell>
          <cell r="I164">
            <v>2297796</v>
          </cell>
        </row>
        <row r="167">
          <cell r="G167">
            <v>24000</v>
          </cell>
          <cell r="H167">
            <v>24000</v>
          </cell>
          <cell r="I167">
            <v>24000</v>
          </cell>
        </row>
        <row r="171">
          <cell r="G171">
            <v>3667000</v>
          </cell>
          <cell r="H171">
            <v>4940558</v>
          </cell>
          <cell r="I171">
            <v>4940558</v>
          </cell>
        </row>
        <row r="177">
          <cell r="G177">
            <v>746000</v>
          </cell>
          <cell r="H177">
            <v>746000</v>
          </cell>
          <cell r="I177">
            <v>746000</v>
          </cell>
        </row>
        <row r="182">
          <cell r="G182">
            <v>750000</v>
          </cell>
          <cell r="H182">
            <v>750000</v>
          </cell>
          <cell r="I182">
            <v>750000</v>
          </cell>
        </row>
        <row r="184">
          <cell r="G184">
            <v>6258080.0030000005</v>
          </cell>
          <cell r="H184">
            <v>6228080.0030000005</v>
          </cell>
          <cell r="I184">
            <v>6228080.0030000005</v>
          </cell>
        </row>
        <row r="189">
          <cell r="G189">
            <v>2069234.31008</v>
          </cell>
          <cell r="H189">
            <v>1319234.31008</v>
          </cell>
          <cell r="I189">
            <v>1319234.31008</v>
          </cell>
        </row>
        <row r="196">
          <cell r="G196">
            <v>2327895.0288</v>
          </cell>
          <cell r="H196">
            <v>2327895.0288</v>
          </cell>
          <cell r="I196">
            <v>2327895.0288</v>
          </cell>
        </row>
        <row r="201">
          <cell r="G201">
            <v>4405306.5289999992</v>
          </cell>
          <cell r="H201">
            <v>4405306.5289999992</v>
          </cell>
          <cell r="I201">
            <v>4301908.3640000001</v>
          </cell>
        </row>
        <row r="205">
          <cell r="G205">
            <v>11500</v>
          </cell>
          <cell r="H205">
            <v>11500</v>
          </cell>
          <cell r="I205">
            <v>7700</v>
          </cell>
        </row>
        <row r="207">
          <cell r="G207">
            <v>101126000.00000001</v>
          </cell>
          <cell r="H207">
            <v>65898000</v>
          </cell>
          <cell r="I207">
            <v>62603000</v>
          </cell>
        </row>
        <row r="210">
          <cell r="G210">
            <v>21381999.521181002</v>
          </cell>
          <cell r="H210">
            <v>22307999.521181002</v>
          </cell>
          <cell r="I210">
            <v>20059999.521181002</v>
          </cell>
        </row>
        <row r="217">
          <cell r="G217">
            <v>1185874106.0457861</v>
          </cell>
        </row>
        <row r="222">
          <cell r="G222">
            <v>1185874106</v>
          </cell>
        </row>
      </sheetData>
      <sheetData sheetId="5">
        <row r="66">
          <cell r="D66">
            <v>1185874106.0457861</v>
          </cell>
        </row>
      </sheetData>
      <sheetData sheetId="6"/>
      <sheetData sheetId="7">
        <row r="29">
          <cell r="C29">
            <v>21515000</v>
          </cell>
          <cell r="D29">
            <v>18623000</v>
          </cell>
          <cell r="E29">
            <v>2892000</v>
          </cell>
        </row>
        <row r="45">
          <cell r="C45">
            <v>4059668</v>
          </cell>
        </row>
        <row r="46">
          <cell r="D46">
            <v>521932</v>
          </cell>
        </row>
      </sheetData>
      <sheetData sheetId="8">
        <row r="14">
          <cell r="B14">
            <v>400000</v>
          </cell>
        </row>
        <row r="20">
          <cell r="B20">
            <v>1000000</v>
          </cell>
        </row>
        <row r="22">
          <cell r="B22">
            <v>2410000</v>
          </cell>
        </row>
        <row r="23">
          <cell r="B23">
            <v>1043000</v>
          </cell>
        </row>
        <row r="24">
          <cell r="B24">
            <v>600000</v>
          </cell>
        </row>
        <row r="25">
          <cell r="B25">
            <v>320000</v>
          </cell>
        </row>
        <row r="26">
          <cell r="B26">
            <v>800000</v>
          </cell>
        </row>
        <row r="27">
          <cell r="B27">
            <v>900000</v>
          </cell>
        </row>
        <row r="29">
          <cell r="B29">
            <v>300000</v>
          </cell>
        </row>
        <row r="35">
          <cell r="B35">
            <v>1000000</v>
          </cell>
        </row>
        <row r="36">
          <cell r="B36">
            <v>500000</v>
          </cell>
        </row>
      </sheetData>
      <sheetData sheetId="9">
        <row r="44">
          <cell r="H44">
            <v>372361242.06</v>
          </cell>
          <cell r="J44">
            <v>112453095.10211998</v>
          </cell>
          <cell r="N44">
            <v>9398662.5000000019</v>
          </cell>
          <cell r="O44">
            <v>0</v>
          </cell>
          <cell r="P44">
            <v>0</v>
          </cell>
        </row>
        <row r="62">
          <cell r="H62">
            <v>89180437.002308145</v>
          </cell>
          <cell r="I62">
            <v>383241</v>
          </cell>
          <cell r="J62">
            <v>26932491.974697053</v>
          </cell>
          <cell r="K62">
            <v>0</v>
          </cell>
          <cell r="L62">
            <v>29480</v>
          </cell>
          <cell r="M62">
            <v>103180</v>
          </cell>
          <cell r="N62">
            <v>3559485.82</v>
          </cell>
          <cell r="O62">
            <v>88440</v>
          </cell>
          <cell r="P62">
            <v>893244</v>
          </cell>
        </row>
        <row r="73">
          <cell r="H73">
            <v>0</v>
          </cell>
          <cell r="J73">
            <v>0</v>
          </cell>
        </row>
      </sheetData>
      <sheetData sheetId="10"/>
      <sheetData sheetId="11">
        <row r="29">
          <cell r="H29">
            <v>0</v>
          </cell>
        </row>
        <row r="102">
          <cell r="H102">
            <v>0</v>
          </cell>
        </row>
        <row r="108">
          <cell r="H108">
            <v>0</v>
          </cell>
        </row>
      </sheetData>
      <sheetData sheetId="12">
        <row r="7">
          <cell r="AK7">
            <v>1573780.29128</v>
          </cell>
          <cell r="AL7">
            <v>291822.79640000011</v>
          </cell>
        </row>
        <row r="9">
          <cell r="AK9">
            <v>2005253.4064199999</v>
          </cell>
          <cell r="AL9">
            <v>60170.917099999962</v>
          </cell>
        </row>
        <row r="12">
          <cell r="AK12">
            <v>1694462.0127599998</v>
          </cell>
          <cell r="AL12">
            <v>170669.09379999992</v>
          </cell>
          <cell r="AM12">
            <v>10000</v>
          </cell>
        </row>
        <row r="14">
          <cell r="AK14">
            <v>1606277.79262</v>
          </cell>
          <cell r="AL14">
            <v>47260.198099999921</v>
          </cell>
        </row>
        <row r="15">
          <cell r="AR15">
            <v>61200</v>
          </cell>
        </row>
        <row r="16">
          <cell r="AK16">
            <v>0</v>
          </cell>
          <cell r="AL16">
            <v>0</v>
          </cell>
        </row>
        <row r="17">
          <cell r="AK17">
            <v>0</v>
          </cell>
          <cell r="AL17">
            <v>58400</v>
          </cell>
        </row>
        <row r="18">
          <cell r="AO18">
            <v>2500000</v>
          </cell>
        </row>
        <row r="19">
          <cell r="AK19">
            <v>323379.63918</v>
          </cell>
          <cell r="AL19">
            <v>48620.110900000029</v>
          </cell>
        </row>
        <row r="20">
          <cell r="AK20">
            <v>597317.00630000001</v>
          </cell>
          <cell r="AL20">
            <v>146682.80649999995</v>
          </cell>
        </row>
        <row r="26">
          <cell r="AK26">
            <v>1265233.9307200001</v>
          </cell>
          <cell r="AL26">
            <v>489640.81359999999</v>
          </cell>
          <cell r="AM26">
            <v>0</v>
          </cell>
          <cell r="AN26">
            <v>0</v>
          </cell>
        </row>
        <row r="34">
          <cell r="AK34">
            <v>10725215.05696</v>
          </cell>
          <cell r="AL34">
            <v>4258454.1647999994</v>
          </cell>
          <cell r="AM34">
            <v>397313.23600000003</v>
          </cell>
        </row>
        <row r="38">
          <cell r="AK38">
            <v>1254770.0241799999</v>
          </cell>
          <cell r="AL38">
            <v>64464.285900000017</v>
          </cell>
        </row>
        <row r="39">
          <cell r="AL39">
            <v>750000</v>
          </cell>
        </row>
        <row r="43">
          <cell r="AL43">
            <v>0</v>
          </cell>
        </row>
        <row r="46">
          <cell r="BM46">
            <v>11500</v>
          </cell>
        </row>
        <row r="51">
          <cell r="AR51">
            <v>0</v>
          </cell>
        </row>
      </sheetData>
      <sheetData sheetId="13">
        <row r="7">
          <cell r="Z7">
            <v>4876660.53</v>
          </cell>
          <cell r="AA7">
            <v>1510893.5019999994</v>
          </cell>
          <cell r="AB7">
            <v>0</v>
          </cell>
          <cell r="AC7">
            <v>0</v>
          </cell>
        </row>
      </sheetData>
      <sheetData sheetId="14">
        <row r="7">
          <cell r="Z7">
            <v>2585710.08</v>
          </cell>
          <cell r="AA7">
            <v>110000</v>
          </cell>
        </row>
      </sheetData>
      <sheetData sheetId="15">
        <row r="7">
          <cell r="AC7">
            <v>1975178.2679999999</v>
          </cell>
          <cell r="AD7">
            <v>591063.80999999982</v>
          </cell>
        </row>
      </sheetData>
      <sheetData sheetId="16">
        <row r="7">
          <cell r="AC7">
            <v>1668864.5867999999</v>
          </cell>
          <cell r="AD7">
            <v>656030.44200000004</v>
          </cell>
          <cell r="AE7">
            <v>3000</v>
          </cell>
        </row>
      </sheetData>
      <sheetData sheetId="17">
        <row r="7">
          <cell r="AC7">
            <v>5174129.5657000002</v>
          </cell>
          <cell r="AD7">
            <v>544010.05350000039</v>
          </cell>
          <cell r="AE7">
            <v>0</v>
          </cell>
        </row>
      </sheetData>
      <sheetData sheetId="18">
        <row r="7">
          <cell r="Z7">
            <v>4484587.9680000003</v>
          </cell>
          <cell r="AA7">
            <v>447596.55499999993</v>
          </cell>
          <cell r="AB7">
            <v>1295895.4800000002</v>
          </cell>
        </row>
        <row r="8">
          <cell r="AC8">
            <v>30000</v>
          </cell>
          <cell r="AD8">
            <v>0</v>
          </cell>
        </row>
      </sheetData>
      <sheetData sheetId="19">
        <row r="7">
          <cell r="AC7">
            <v>3819974.3640000001</v>
          </cell>
          <cell r="AD7">
            <v>585332.16499999911</v>
          </cell>
          <cell r="AE7">
            <v>0</v>
          </cell>
        </row>
      </sheetData>
      <sheetData sheetId="20">
        <row r="7">
          <cell r="AC7">
            <v>2598966.5819600001</v>
          </cell>
          <cell r="AD7">
            <v>273616.59979999997</v>
          </cell>
          <cell r="AE7">
            <v>0</v>
          </cell>
        </row>
      </sheetData>
      <sheetData sheetId="21">
        <row r="6">
          <cell r="B6" t="str">
            <v>На выполнение муниципального задания</v>
          </cell>
          <cell r="V6">
            <v>2679380</v>
          </cell>
        </row>
        <row r="7">
          <cell r="V7">
            <v>0</v>
          </cell>
        </row>
        <row r="9">
          <cell r="V9">
            <v>0</v>
          </cell>
        </row>
      </sheetData>
      <sheetData sheetId="22">
        <row r="9">
          <cell r="AO9">
            <v>907677</v>
          </cell>
        </row>
        <row r="10">
          <cell r="AO10">
            <v>5572860</v>
          </cell>
        </row>
        <row r="11">
          <cell r="AO11">
            <v>8846043</v>
          </cell>
        </row>
        <row r="12">
          <cell r="AO12">
            <v>9218763</v>
          </cell>
        </row>
        <row r="36">
          <cell r="AO36">
            <v>3537667</v>
          </cell>
        </row>
        <row r="37">
          <cell r="AO37">
            <v>2845984</v>
          </cell>
        </row>
        <row r="38">
          <cell r="AO38">
            <v>2108135</v>
          </cell>
        </row>
        <row r="54">
          <cell r="B54" t="str">
            <v>0505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0">
          <cell r="B20">
            <v>762630.07799999998</v>
          </cell>
        </row>
      </sheetData>
      <sheetData sheetId="33"/>
      <sheetData sheetId="34">
        <row r="12">
          <cell r="G12">
            <v>26096600</v>
          </cell>
        </row>
      </sheetData>
      <sheetData sheetId="35"/>
      <sheetData sheetId="36"/>
      <sheetData sheetId="37">
        <row r="19">
          <cell r="C19">
            <v>8846043</v>
          </cell>
        </row>
      </sheetData>
      <sheetData sheetId="38">
        <row r="6">
          <cell r="A6" t="str">
            <v>На выполнение муниципального задания</v>
          </cell>
          <cell r="B6">
            <v>15326580</v>
          </cell>
        </row>
        <row r="7">
          <cell r="A7" t="str">
            <v>в том числе:</v>
          </cell>
        </row>
        <row r="8">
          <cell r="A8" t="str">
            <v>0501</v>
          </cell>
          <cell r="B8">
            <v>0</v>
          </cell>
        </row>
        <row r="9">
          <cell r="A9" t="str">
            <v>0502</v>
          </cell>
          <cell r="B9">
            <v>907677</v>
          </cell>
        </row>
        <row r="10">
          <cell r="A10" t="str">
            <v>0503</v>
          </cell>
          <cell r="B10">
            <v>5572860</v>
          </cell>
        </row>
        <row r="11">
          <cell r="A11" t="str">
            <v>Иные субсидии</v>
          </cell>
          <cell r="B11">
            <v>9218763</v>
          </cell>
        </row>
        <row r="12">
          <cell r="A12" t="str">
            <v>в том числе:</v>
          </cell>
        </row>
        <row r="13">
          <cell r="A13" t="str">
            <v>0501</v>
          </cell>
          <cell r="B13">
            <v>258763</v>
          </cell>
        </row>
        <row r="14">
          <cell r="A14" t="str">
            <v>из них:</v>
          </cell>
          <cell r="B14">
            <v>0</v>
          </cell>
        </row>
        <row r="15">
          <cell r="A15" t="str">
            <v>взносы на капитальный ремонт жилдомов (некомерческий фонд), согл Закону РД №57 от 09.07.2013 г.</v>
          </cell>
          <cell r="B15">
            <v>258763</v>
          </cell>
        </row>
        <row r="20">
          <cell r="A20" t="str">
            <v>0502</v>
          </cell>
        </row>
        <row r="21">
          <cell r="A21" t="str">
            <v>из них:</v>
          </cell>
          <cell r="B21">
            <v>0</v>
          </cell>
        </row>
        <row r="22">
          <cell r="A22" t="str">
            <v>на строительство канализации в местности "Бакьура" с. Ботлих</v>
          </cell>
          <cell r="B22">
            <v>5000000</v>
          </cell>
        </row>
        <row r="23">
          <cell r="B23">
            <v>2000000</v>
          </cell>
        </row>
        <row r="24">
          <cell r="B24">
            <v>0</v>
          </cell>
        </row>
        <row r="25">
          <cell r="A25" t="str">
            <v>Реконструкция водопровода от бассейна до магазина "Апанди"</v>
          </cell>
          <cell r="B25">
            <v>1210000</v>
          </cell>
        </row>
        <row r="33">
          <cell r="A33" t="str">
            <v>0503 Комфортная городская среда</v>
          </cell>
          <cell r="B33">
            <v>8491786</v>
          </cell>
        </row>
        <row r="34">
          <cell r="A34" t="str">
            <v>из них;</v>
          </cell>
          <cell r="B34">
            <v>0</v>
          </cell>
        </row>
        <row r="35">
          <cell r="A35" t="str">
            <v>Благоустройство общественной площадки по программе КГС с.Ансалта</v>
          </cell>
          <cell r="B35">
            <v>3537667</v>
          </cell>
        </row>
        <row r="36">
          <cell r="A36" t="str">
            <v>Благоустройство общественной площадки по программе КГС с.Гагатли</v>
          </cell>
          <cell r="B36">
            <v>2845984</v>
          </cell>
        </row>
        <row r="37">
          <cell r="A37" t="str">
            <v>Благоустройство общественной площадки по программе КГС с.Миарсо</v>
          </cell>
          <cell r="B37">
            <v>2108135</v>
          </cell>
        </row>
        <row r="38">
          <cell r="A38" t="str">
            <v xml:space="preserve">0409 </v>
          </cell>
          <cell r="B38">
            <v>0</v>
          </cell>
        </row>
        <row r="45">
          <cell r="A45" t="str">
            <v>0503</v>
          </cell>
          <cell r="B45">
            <v>750000</v>
          </cell>
        </row>
        <row r="46">
          <cell r="A46" t="str">
            <v>Строительство детской площадки с.Хелетури</v>
          </cell>
          <cell r="B46">
            <v>750000</v>
          </cell>
        </row>
        <row r="53">
          <cell r="B53">
            <v>0</v>
          </cell>
        </row>
        <row r="54">
          <cell r="B54">
            <v>0</v>
          </cell>
        </row>
        <row r="55">
          <cell r="A55" t="str">
            <v>ИТОГО:</v>
          </cell>
          <cell r="B55">
            <v>24545343</v>
          </cell>
        </row>
      </sheetData>
      <sheetData sheetId="39">
        <row r="10">
          <cell r="AH10">
            <v>158097529.81956518</v>
          </cell>
          <cell r="AI10">
            <v>49581368.72300002</v>
          </cell>
          <cell r="AJ10">
            <v>3324495</v>
          </cell>
          <cell r="AK10">
            <v>0</v>
          </cell>
        </row>
        <row r="12">
          <cell r="AH12">
            <v>18993581.07</v>
          </cell>
        </row>
        <row r="13">
          <cell r="AH13">
            <v>2403662.9220000003</v>
          </cell>
        </row>
        <row r="14">
          <cell r="AH14">
            <v>423621.13500000001</v>
          </cell>
        </row>
        <row r="15">
          <cell r="AI15">
            <v>62288885.923999988</v>
          </cell>
          <cell r="AJ15">
            <v>5925608.898000001</v>
          </cell>
          <cell r="AK15">
            <v>1445000</v>
          </cell>
        </row>
        <row r="22">
          <cell r="AH22">
            <v>5931277.8159999996</v>
          </cell>
          <cell r="AI22">
            <v>1061036.0020000003</v>
          </cell>
          <cell r="AJ22">
            <v>135780</v>
          </cell>
        </row>
        <row r="23">
          <cell r="AH23">
            <v>0</v>
          </cell>
          <cell r="AI23">
            <v>2870000</v>
          </cell>
          <cell r="AJ23">
            <v>0</v>
          </cell>
          <cell r="AK23">
            <v>0</v>
          </cell>
        </row>
        <row r="24">
          <cell r="AH24">
            <v>2433211.9438399998</v>
          </cell>
          <cell r="AI24">
            <v>251514.44420000026</v>
          </cell>
          <cell r="AJ24">
            <v>0</v>
          </cell>
        </row>
        <row r="25">
          <cell r="AI25">
            <v>0</v>
          </cell>
        </row>
        <row r="37">
          <cell r="AH37">
            <v>709362</v>
          </cell>
          <cell r="AI37">
            <v>36638</v>
          </cell>
        </row>
      </sheetData>
      <sheetData sheetId="40"/>
      <sheetData sheetId="41"/>
      <sheetData sheetId="42">
        <row r="5">
          <cell r="B5" t="str">
            <v>МКДОУ "Ромашка" с Алак</v>
          </cell>
          <cell r="AQ5">
            <v>383436</v>
          </cell>
          <cell r="AZ5">
            <v>2199911.506861201</v>
          </cell>
          <cell r="BD5">
            <v>208350</v>
          </cell>
          <cell r="BG5">
            <v>847567.79999999993</v>
          </cell>
          <cell r="BT5">
            <v>11181</v>
          </cell>
          <cell r="BY5">
            <v>860</v>
          </cell>
          <cell r="CE5">
            <v>3010</v>
          </cell>
          <cell r="CF5">
            <v>130539.65000000001</v>
          </cell>
          <cell r="DE5">
            <v>2580</v>
          </cell>
          <cell r="DF5">
            <v>26058</v>
          </cell>
        </row>
        <row r="6">
          <cell r="B6" t="str">
            <v xml:space="preserve">МКДОУ "Светлячок" с Анди  </v>
          </cell>
          <cell r="AQ6">
            <v>711086.39999999991</v>
          </cell>
          <cell r="AZ6">
            <v>4103800.0415578727</v>
          </cell>
          <cell r="BD6">
            <v>575045.99999999988</v>
          </cell>
          <cell r="BG6">
            <v>2046876.2369999993</v>
          </cell>
          <cell r="BT6">
            <v>29900</v>
          </cell>
          <cell r="BY6">
            <v>2300</v>
          </cell>
          <cell r="CE6">
            <v>8050</v>
          </cell>
          <cell r="CF6">
            <v>280267.63500000001</v>
          </cell>
          <cell r="DE6">
            <v>6900</v>
          </cell>
          <cell r="DF6">
            <v>69690</v>
          </cell>
        </row>
        <row r="7">
          <cell r="B7" t="str">
            <v>МКДОУ "Аист" с  Ансалта</v>
          </cell>
          <cell r="AQ7">
            <v>756852</v>
          </cell>
          <cell r="AZ7">
            <v>5755179.7193609774</v>
          </cell>
          <cell r="BD7">
            <v>833400</v>
          </cell>
          <cell r="BG7">
            <v>2373189.84</v>
          </cell>
          <cell r="BT7">
            <v>37700</v>
          </cell>
          <cell r="BY7">
            <v>2900</v>
          </cell>
          <cell r="CE7">
            <v>10150</v>
          </cell>
          <cell r="CF7">
            <v>354908.88</v>
          </cell>
          <cell r="DE7">
            <v>8700</v>
          </cell>
          <cell r="DF7">
            <v>87870</v>
          </cell>
        </row>
        <row r="8">
          <cell r="B8" t="str">
            <v xml:space="preserve">МКДОУ "Чебурашка" с Ботлих  </v>
          </cell>
          <cell r="AQ8">
            <v>1253340</v>
          </cell>
          <cell r="AZ8">
            <v>6357392.2258087453</v>
          </cell>
          <cell r="BD8">
            <v>500040</v>
          </cell>
          <cell r="BG8">
            <v>2712216.96</v>
          </cell>
          <cell r="BT8">
            <v>48100</v>
          </cell>
          <cell r="BY8">
            <v>3700</v>
          </cell>
          <cell r="CE8">
            <v>12950</v>
          </cell>
          <cell r="CF8">
            <v>399227.62</v>
          </cell>
          <cell r="DE8">
            <v>11100</v>
          </cell>
          <cell r="DF8">
            <v>112110</v>
          </cell>
        </row>
        <row r="9">
          <cell r="B9" t="str">
            <v>МКДОУ "Солнышко" с  Ботлих</v>
          </cell>
          <cell r="AQ9">
            <v>1069848</v>
          </cell>
          <cell r="AZ9">
            <v>5102261.8404231966</v>
          </cell>
          <cell r="BD9">
            <v>666720</v>
          </cell>
          <cell r="BG9">
            <v>2030162.4</v>
          </cell>
          <cell r="BT9">
            <v>49400</v>
          </cell>
          <cell r="BY9">
            <v>3800</v>
          </cell>
          <cell r="CE9">
            <v>13300</v>
          </cell>
          <cell r="CF9">
            <v>351032.96666666667</v>
          </cell>
          <cell r="DE9">
            <v>11400</v>
          </cell>
          <cell r="DF9">
            <v>115140</v>
          </cell>
        </row>
        <row r="10">
          <cell r="B10" t="str">
            <v>МКДОУ "Родничок" с  Ботлих</v>
          </cell>
          <cell r="AQ10">
            <v>696120</v>
          </cell>
          <cell r="AZ10">
            <v>4138155.1053639762</v>
          </cell>
          <cell r="BD10">
            <v>916740</v>
          </cell>
          <cell r="BG10">
            <v>1779892.3799999994</v>
          </cell>
          <cell r="BT10">
            <v>32760</v>
          </cell>
          <cell r="BY10">
            <v>2520</v>
          </cell>
          <cell r="CE10">
            <v>8820</v>
          </cell>
          <cell r="CF10">
            <v>301869.33499999996</v>
          </cell>
          <cell r="DE10">
            <v>7560</v>
          </cell>
          <cell r="DF10">
            <v>76356</v>
          </cell>
        </row>
        <row r="11">
          <cell r="B11" t="str">
            <v xml:space="preserve">МКДОУ "Орленок" с Гагатли </v>
          </cell>
          <cell r="AQ11">
            <v>497890.19999999995</v>
          </cell>
          <cell r="AZ11">
            <v>2232169.8390461542</v>
          </cell>
          <cell r="BD11">
            <v>575045.99999999988</v>
          </cell>
          <cell r="BG11">
            <v>1364584.1579999998</v>
          </cell>
          <cell r="BT11">
            <v>22100</v>
          </cell>
          <cell r="BY11">
            <v>1700</v>
          </cell>
          <cell r="CE11">
            <v>5950</v>
          </cell>
          <cell r="CF11">
            <v>208062.19000000003</v>
          </cell>
          <cell r="DE11">
            <v>5100</v>
          </cell>
          <cell r="DF11">
            <v>51510</v>
          </cell>
        </row>
        <row r="12">
          <cell r="B12" t="str">
            <v>МКДОУ "Улыбка" с  Муни</v>
          </cell>
          <cell r="AQ12">
            <v>514368</v>
          </cell>
          <cell r="AZ12">
            <v>2839215.9977975236</v>
          </cell>
          <cell r="BD12">
            <v>416700</v>
          </cell>
          <cell r="BG12">
            <v>1186594.92</v>
          </cell>
          <cell r="BT12">
            <v>21320</v>
          </cell>
          <cell r="BY12">
            <v>1640</v>
          </cell>
          <cell r="CE12">
            <v>5740</v>
          </cell>
          <cell r="CF12">
            <v>203254.69</v>
          </cell>
          <cell r="DE12">
            <v>4920</v>
          </cell>
          <cell r="DF12">
            <v>49692</v>
          </cell>
        </row>
        <row r="13">
          <cell r="B13" t="str">
            <v xml:space="preserve">МКДОУ "Ласточка" с Рахата  </v>
          </cell>
          <cell r="AQ13">
            <v>1077900</v>
          </cell>
          <cell r="AZ13">
            <v>6534611.8039416801</v>
          </cell>
          <cell r="BD13">
            <v>416700</v>
          </cell>
          <cell r="BG13">
            <v>2784222.7199999997</v>
          </cell>
          <cell r="BT13">
            <v>41340</v>
          </cell>
          <cell r="BY13">
            <v>3180</v>
          </cell>
          <cell r="CE13">
            <v>11130</v>
          </cell>
          <cell r="CF13">
            <v>393150.94</v>
          </cell>
          <cell r="DE13">
            <v>9540</v>
          </cell>
          <cell r="DF13">
            <v>96354</v>
          </cell>
        </row>
        <row r="14">
          <cell r="B14" t="str">
            <v>МКДОУ "Звездочка" с  Тандо</v>
          </cell>
          <cell r="AQ14">
            <v>374256</v>
          </cell>
          <cell r="AZ14">
            <v>1371024.0960147029</v>
          </cell>
          <cell r="BD14">
            <v>291690</v>
          </cell>
          <cell r="BG14">
            <v>593297.46</v>
          </cell>
          <cell r="BT14">
            <v>9100</v>
          </cell>
          <cell r="BY14">
            <v>700</v>
          </cell>
          <cell r="CE14">
            <v>2450</v>
          </cell>
          <cell r="CF14">
            <v>119831.74499999998</v>
          </cell>
          <cell r="DE14">
            <v>2100</v>
          </cell>
          <cell r="DF14">
            <v>21210</v>
          </cell>
        </row>
        <row r="15">
          <cell r="B15" t="str">
            <v xml:space="preserve">МКДОУ "Радуга" с Тлох </v>
          </cell>
          <cell r="AQ15">
            <v>537060</v>
          </cell>
          <cell r="AZ15">
            <v>2777056.1887071645</v>
          </cell>
          <cell r="BD15">
            <v>333360</v>
          </cell>
          <cell r="BG15">
            <v>1130090.3999999999</v>
          </cell>
          <cell r="BT15">
            <v>20800</v>
          </cell>
          <cell r="BY15">
            <v>1600</v>
          </cell>
          <cell r="CE15">
            <v>5600</v>
          </cell>
          <cell r="CF15">
            <v>193026.46666666667</v>
          </cell>
          <cell r="DE15">
            <v>4800</v>
          </cell>
          <cell r="DF15">
            <v>48480</v>
          </cell>
        </row>
        <row r="16">
          <cell r="B16" t="str">
            <v xml:space="preserve">МКДОУ "Сказка" с Ашали  </v>
          </cell>
          <cell r="AQ16">
            <v>406313.39999999997</v>
          </cell>
          <cell r="AZ16">
            <v>826598.0227982353</v>
          </cell>
          <cell r="BD16">
            <v>335443.49999999994</v>
          </cell>
          <cell r="BG16">
            <v>341146.03949999996</v>
          </cell>
          <cell r="BT16">
            <v>5200</v>
          </cell>
          <cell r="BY16">
            <v>400</v>
          </cell>
          <cell r="CE16">
            <v>1400</v>
          </cell>
          <cell r="CF16">
            <v>88568.572499999995</v>
          </cell>
          <cell r="DE16">
            <v>1200</v>
          </cell>
          <cell r="DF16">
            <v>12120</v>
          </cell>
        </row>
        <row r="17">
          <cell r="B17" t="str">
            <v>МКДОУ "Журавлик" с  Шодрода</v>
          </cell>
          <cell r="AQ17">
            <v>316896</v>
          </cell>
          <cell r="AZ17">
            <v>707596.32171456283</v>
          </cell>
          <cell r="BD17">
            <v>208350</v>
          </cell>
          <cell r="BG17">
            <v>296648.73</v>
          </cell>
          <cell r="BT17">
            <v>6240</v>
          </cell>
          <cell r="BY17">
            <v>480</v>
          </cell>
          <cell r="CE17">
            <v>1680</v>
          </cell>
          <cell r="CF17">
            <v>85363.572499999995</v>
          </cell>
          <cell r="DE17">
            <v>1440</v>
          </cell>
          <cell r="DF17">
            <v>14544</v>
          </cell>
        </row>
        <row r="18">
          <cell r="B18" t="str">
            <v>МКДОУ "Теремок" с  Годобери</v>
          </cell>
          <cell r="AQ18">
            <v>399427.19999999995</v>
          </cell>
          <cell r="AZ18">
            <v>2426655.3777630227</v>
          </cell>
          <cell r="BD18">
            <v>383363.99999999994</v>
          </cell>
          <cell r="BG18">
            <v>1023438.1184999996</v>
          </cell>
          <cell r="BT18">
            <v>18200</v>
          </cell>
          <cell r="BY18">
            <v>1400</v>
          </cell>
          <cell r="CE18">
            <v>4900</v>
          </cell>
          <cell r="CF18">
            <v>162376.51749999999</v>
          </cell>
          <cell r="DE18">
            <v>4200</v>
          </cell>
          <cell r="DF18">
            <v>42420</v>
          </cell>
        </row>
        <row r="19">
          <cell r="B19" t="str">
            <v xml:space="preserve">МКДОУ "Орленок" с  Зило </v>
          </cell>
          <cell r="AQ19">
            <v>305173.19999999995</v>
          </cell>
          <cell r="AZ19">
            <v>623077.8721764345</v>
          </cell>
          <cell r="BD19">
            <v>239602.5</v>
          </cell>
          <cell r="BG19">
            <v>341146.03949999996</v>
          </cell>
          <cell r="BT19">
            <v>5200</v>
          </cell>
          <cell r="BY19">
            <v>400</v>
          </cell>
          <cell r="CE19">
            <v>1400</v>
          </cell>
          <cell r="CF19">
            <v>86966.072499999995</v>
          </cell>
          <cell r="DE19">
            <v>1200</v>
          </cell>
          <cell r="DF19">
            <v>12120</v>
          </cell>
        </row>
        <row r="20">
          <cell r="B20" t="str">
            <v>МКДОУ "Золотой ключик" в/городок</v>
          </cell>
          <cell r="AQ20">
            <v>430968</v>
          </cell>
          <cell r="AZ20">
            <v>1739680.0404726947</v>
          </cell>
          <cell r="BD20">
            <v>833400</v>
          </cell>
          <cell r="BG20">
            <v>1130090.3999999999</v>
          </cell>
          <cell r="BT20">
            <v>24700</v>
          </cell>
          <cell r="BY20">
            <v>1900</v>
          </cell>
          <cell r="CE20">
            <v>6650</v>
          </cell>
          <cell r="CF20">
            <v>201038.96666666667</v>
          </cell>
          <cell r="DE20">
            <v>5700</v>
          </cell>
          <cell r="DF20">
            <v>57570</v>
          </cell>
        </row>
        <row r="21">
          <cell r="BT21">
            <v>0</v>
          </cell>
        </row>
      </sheetData>
      <sheetData sheetId="43"/>
      <sheetData sheetId="44"/>
      <sheetData sheetId="45">
        <row r="7">
          <cell r="AN7">
            <v>8313884</v>
          </cell>
        </row>
        <row r="11">
          <cell r="AN11">
            <v>100000</v>
          </cell>
        </row>
        <row r="16">
          <cell r="AN16">
            <v>10402045</v>
          </cell>
        </row>
        <row r="20">
          <cell r="AN20">
            <v>100000</v>
          </cell>
        </row>
        <row r="26">
          <cell r="AN26">
            <v>22051027</v>
          </cell>
        </row>
        <row r="30">
          <cell r="AN30">
            <v>500000</v>
          </cell>
        </row>
        <row r="35">
          <cell r="AN35">
            <v>8060944</v>
          </cell>
        </row>
        <row r="39">
          <cell r="AN39">
            <v>100000</v>
          </cell>
        </row>
        <row r="44">
          <cell r="AN44">
            <v>16891295</v>
          </cell>
        </row>
        <row r="48">
          <cell r="U48">
            <v>0</v>
          </cell>
        </row>
        <row r="50">
          <cell r="AN50">
            <v>50397</v>
          </cell>
        </row>
        <row r="51">
          <cell r="AN51">
            <v>50396</v>
          </cell>
        </row>
        <row r="52">
          <cell r="AN52">
            <v>50396</v>
          </cell>
        </row>
        <row r="53">
          <cell r="AN53">
            <v>50396</v>
          </cell>
        </row>
        <row r="54">
          <cell r="AN54">
            <v>201585</v>
          </cell>
        </row>
        <row r="55">
          <cell r="AN55">
            <v>65719195</v>
          </cell>
        </row>
        <row r="57">
          <cell r="U57">
            <v>800000</v>
          </cell>
        </row>
        <row r="59">
          <cell r="AN59">
            <v>9174050</v>
          </cell>
        </row>
      </sheetData>
      <sheetData sheetId="46">
        <row r="13">
          <cell r="CE13">
            <v>2000000</v>
          </cell>
        </row>
      </sheetData>
      <sheetData sheetId="47">
        <row r="31">
          <cell r="C31">
            <v>16891295</v>
          </cell>
        </row>
        <row r="37">
          <cell r="C37">
            <v>201585</v>
          </cell>
        </row>
      </sheetData>
      <sheetData sheetId="48">
        <row r="7">
          <cell r="AI7">
            <v>12388511.244800001</v>
          </cell>
          <cell r="AJ7">
            <v>2258045.2599999993</v>
          </cell>
          <cell r="AK7">
            <v>0</v>
          </cell>
          <cell r="AL7">
            <v>116118.85</v>
          </cell>
        </row>
        <row r="11">
          <cell r="AI11">
            <v>6232493.7878</v>
          </cell>
          <cell r="AJ11">
            <v>175099.5</v>
          </cell>
          <cell r="AL11">
            <v>55275.25</v>
          </cell>
        </row>
        <row r="12">
          <cell r="AI12">
            <v>6007226.841</v>
          </cell>
          <cell r="AJ12">
            <v>72000</v>
          </cell>
          <cell r="AL12">
            <v>48000</v>
          </cell>
        </row>
      </sheetData>
      <sheetData sheetId="49"/>
      <sheetData sheetId="50">
        <row r="7">
          <cell r="H7">
            <v>2297796</v>
          </cell>
        </row>
        <row r="8">
          <cell r="H8">
            <v>24000</v>
          </cell>
          <cell r="AG8">
            <v>24000</v>
          </cell>
        </row>
        <row r="9">
          <cell r="H9">
            <v>0</v>
          </cell>
        </row>
        <row r="12">
          <cell r="H12">
            <v>675000</v>
          </cell>
        </row>
        <row r="13">
          <cell r="H13">
            <v>675000</v>
          </cell>
        </row>
        <row r="14">
          <cell r="H14">
            <v>0</v>
          </cell>
        </row>
        <row r="16">
          <cell r="H16">
            <v>2317000</v>
          </cell>
        </row>
        <row r="17">
          <cell r="H17">
            <v>3667000</v>
          </cell>
        </row>
      </sheetData>
      <sheetData sheetId="51"/>
      <sheetData sheetId="52"/>
      <sheetData sheetId="53"/>
      <sheetData sheetId="54"/>
      <sheetData sheetId="55"/>
      <sheetData sheetId="56">
        <row r="25">
          <cell r="D25">
            <v>0</v>
          </cell>
        </row>
      </sheetData>
      <sheetData sheetId="57"/>
      <sheetData sheetId="58"/>
      <sheetData sheetId="59">
        <row r="12">
          <cell r="B12">
            <v>119000</v>
          </cell>
        </row>
        <row r="13">
          <cell r="B13">
            <v>306000</v>
          </cell>
        </row>
        <row r="14">
          <cell r="B14">
            <v>249000</v>
          </cell>
        </row>
        <row r="15">
          <cell r="B15">
            <v>105000</v>
          </cell>
        </row>
        <row r="16">
          <cell r="B16">
            <v>0</v>
          </cell>
        </row>
        <row r="17">
          <cell r="B17">
            <v>277000</v>
          </cell>
        </row>
        <row r="18">
          <cell r="B18">
            <v>282000</v>
          </cell>
        </row>
        <row r="19">
          <cell r="B19">
            <v>110000</v>
          </cell>
        </row>
        <row r="20">
          <cell r="B20">
            <v>102000</v>
          </cell>
        </row>
        <row r="21">
          <cell r="B21">
            <v>91000</v>
          </cell>
        </row>
        <row r="22">
          <cell r="B22">
            <v>103000</v>
          </cell>
        </row>
        <row r="23">
          <cell r="B23">
            <v>102000</v>
          </cell>
        </row>
        <row r="24">
          <cell r="B24">
            <v>254000</v>
          </cell>
        </row>
        <row r="25">
          <cell r="B25">
            <v>246000</v>
          </cell>
        </row>
        <row r="26">
          <cell r="B26">
            <v>108000</v>
          </cell>
        </row>
        <row r="27">
          <cell r="B27">
            <v>91000</v>
          </cell>
        </row>
        <row r="28">
          <cell r="B28">
            <v>249000</v>
          </cell>
        </row>
        <row r="29">
          <cell r="B29">
            <v>112000</v>
          </cell>
        </row>
        <row r="30">
          <cell r="B30">
            <v>107000</v>
          </cell>
        </row>
        <row r="31">
          <cell r="B31">
            <v>96000</v>
          </cell>
        </row>
        <row r="32">
          <cell r="B32">
            <v>3109000</v>
          </cell>
        </row>
      </sheetData>
      <sheetData sheetId="60">
        <row r="13">
          <cell r="C13">
            <v>0</v>
          </cell>
        </row>
        <row r="14">
          <cell r="C14">
            <v>0</v>
          </cell>
        </row>
        <row r="15">
          <cell r="C15">
            <v>3537667</v>
          </cell>
        </row>
        <row r="18">
          <cell r="C18">
            <v>2845984</v>
          </cell>
        </row>
        <row r="24">
          <cell r="C24">
            <v>2108135</v>
          </cell>
        </row>
      </sheetData>
      <sheetData sheetId="61">
        <row r="2">
          <cell r="B2">
            <v>4867116.0630036322</v>
          </cell>
        </row>
        <row r="3">
          <cell r="B3">
            <v>10398044.31694328</v>
          </cell>
        </row>
        <row r="4">
          <cell r="B4">
            <v>8009727.6677433327</v>
          </cell>
        </row>
        <row r="5">
          <cell r="B5">
            <v>2475984.1592845023</v>
          </cell>
        </row>
        <row r="6">
          <cell r="B6">
            <v>17328450.764017839</v>
          </cell>
        </row>
        <row r="7">
          <cell r="B7">
            <v>6403241.2245554477</v>
          </cell>
        </row>
        <row r="8">
          <cell r="B8">
            <v>5840551.5411116136</v>
          </cell>
        </row>
        <row r="9">
          <cell r="B9">
            <v>2891881.8760668058</v>
          </cell>
        </row>
        <row r="10">
          <cell r="B10">
            <v>3673554.2554770755</v>
          </cell>
        </row>
        <row r="11">
          <cell r="B11">
            <v>2670487.9669462265</v>
          </cell>
        </row>
        <row r="12">
          <cell r="B12">
            <v>1947004.0148178223</v>
          </cell>
        </row>
        <row r="13">
          <cell r="B13">
            <v>3894920.6608049241</v>
          </cell>
        </row>
        <row r="14">
          <cell r="B14">
            <v>6676103.0280587766</v>
          </cell>
        </row>
        <row r="15">
          <cell r="B15">
            <v>5586815.8329180544</v>
          </cell>
        </row>
        <row r="16">
          <cell r="B16">
            <v>2943907.2467029095</v>
          </cell>
        </row>
        <row r="17">
          <cell r="B17">
            <v>2290818.1906907125</v>
          </cell>
        </row>
        <row r="18">
          <cell r="B18">
            <v>4828991.2975423485</v>
          </cell>
        </row>
        <row r="19">
          <cell r="B19">
            <v>3267077.1775838826</v>
          </cell>
        </row>
        <row r="20">
          <cell r="B20">
            <v>2312227.5800418104</v>
          </cell>
        </row>
        <row r="21">
          <cell r="B21">
            <v>2819095.1356890188</v>
          </cell>
        </row>
      </sheetData>
      <sheetData sheetId="62"/>
      <sheetData sheetId="63">
        <row r="7">
          <cell r="V7">
            <v>586328.62644415919</v>
          </cell>
        </row>
        <row r="8">
          <cell r="V8">
            <v>1312259.3068035943</v>
          </cell>
        </row>
        <row r="9">
          <cell r="V9">
            <v>1036521.1810012837</v>
          </cell>
        </row>
        <row r="10">
          <cell r="V10">
            <v>157509.62772785625</v>
          </cell>
        </row>
        <row r="11">
          <cell r="V11">
            <v>0</v>
          </cell>
        </row>
        <row r="12">
          <cell r="V12">
            <v>742490.37227214384</v>
          </cell>
        </row>
        <row r="13">
          <cell r="V13">
            <v>682028.24133504496</v>
          </cell>
        </row>
        <row r="14">
          <cell r="V14">
            <v>241463.41463414635</v>
          </cell>
        </row>
        <row r="15">
          <cell r="V15">
            <v>408215.66110397951</v>
          </cell>
        </row>
        <row r="16">
          <cell r="V16">
            <v>171566.11039794609</v>
          </cell>
        </row>
        <row r="17">
          <cell r="V17">
            <v>72785.622593068038</v>
          </cell>
        </row>
        <row r="18">
          <cell r="V18">
            <v>404172.01540436462</v>
          </cell>
        </row>
        <row r="19">
          <cell r="V19">
            <v>847817.71501925553</v>
          </cell>
        </row>
        <row r="20">
          <cell r="V20">
            <v>662195.12195121951</v>
          </cell>
        </row>
        <row r="21">
          <cell r="V21">
            <v>242041.07830551991</v>
          </cell>
        </row>
        <row r="22">
          <cell r="V22">
            <v>152118.10012836973</v>
          </cell>
        </row>
        <row r="23">
          <cell r="V23">
            <v>595956.35430038511</v>
          </cell>
        </row>
        <row r="24">
          <cell r="V24">
            <v>284210.5263157895</v>
          </cell>
        </row>
        <row r="25">
          <cell r="V25">
            <v>145956.35430038511</v>
          </cell>
        </row>
        <row r="26">
          <cell r="V26">
            <v>254364.56996148909</v>
          </cell>
        </row>
      </sheetData>
      <sheetData sheetId="64">
        <row r="10">
          <cell r="B10">
            <v>4867116.0630036322</v>
          </cell>
        </row>
        <row r="11">
          <cell r="B11">
            <v>10398044.31694328</v>
          </cell>
        </row>
        <row r="12">
          <cell r="B12">
            <v>8009727.6677433327</v>
          </cell>
        </row>
        <row r="13">
          <cell r="B13">
            <v>2475984.1592845023</v>
          </cell>
        </row>
        <row r="14">
          <cell r="B14">
            <v>17328450.764017839</v>
          </cell>
        </row>
        <row r="15">
          <cell r="B15">
            <v>6403241.2245554477</v>
          </cell>
        </row>
        <row r="16">
          <cell r="B16">
            <v>5840551.5411116136</v>
          </cell>
        </row>
        <row r="17">
          <cell r="B17">
            <v>2891881.8760668058</v>
          </cell>
        </row>
        <row r="18">
          <cell r="B18">
            <v>3673554.2554770755</v>
          </cell>
        </row>
        <row r="19">
          <cell r="B19">
            <v>2670487.9669462265</v>
          </cell>
        </row>
        <row r="20">
          <cell r="B20">
            <v>1947004.0148178223</v>
          </cell>
        </row>
        <row r="21">
          <cell r="B21">
            <v>3894920.6608049241</v>
          </cell>
        </row>
        <row r="22">
          <cell r="B22">
            <v>6676103.0280587766</v>
          </cell>
        </row>
        <row r="23">
          <cell r="B23">
            <v>5586815.8329180544</v>
          </cell>
        </row>
        <row r="24">
          <cell r="B24">
            <v>2943907.2467029095</v>
          </cell>
        </row>
        <row r="25">
          <cell r="B25">
            <v>2290818.1906907125</v>
          </cell>
        </row>
        <row r="26">
          <cell r="B26">
            <v>4828991.2975423485</v>
          </cell>
        </row>
        <row r="27">
          <cell r="B27">
            <v>3267077.1775838826</v>
          </cell>
        </row>
        <row r="28">
          <cell r="B28">
            <v>2312227.5800418104</v>
          </cell>
        </row>
        <row r="29">
          <cell r="B29">
            <v>2819095.1356890188</v>
          </cell>
        </row>
        <row r="30">
          <cell r="B30">
            <v>101126000.00000001</v>
          </cell>
        </row>
        <row r="33">
          <cell r="B33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44">
          <cell r="D44">
            <v>35688077.795999989</v>
          </cell>
          <cell r="G44">
            <v>35688077.795999989</v>
          </cell>
        </row>
      </sheetData>
      <sheetData sheetId="111"/>
      <sheetData sheetId="112">
        <row r="5">
          <cell r="B5" t="str">
            <v xml:space="preserve"> МКОУ Алак СОШ лицей</v>
          </cell>
          <cell r="M5">
            <v>27</v>
          </cell>
          <cell r="O5">
            <v>87</v>
          </cell>
          <cell r="S5">
            <v>2</v>
          </cell>
          <cell r="AM5">
            <v>14168332.400000002</v>
          </cell>
          <cell r="AX5">
            <v>1847524.7999999998</v>
          </cell>
          <cell r="BC5">
            <v>500040</v>
          </cell>
          <cell r="BM5">
            <v>3183588</v>
          </cell>
        </row>
        <row r="6">
          <cell r="B6" t="str">
            <v xml:space="preserve"> МКОУ Анди СОШ №1</v>
          </cell>
          <cell r="M6">
            <v>30</v>
          </cell>
          <cell r="O6">
            <v>102</v>
          </cell>
          <cell r="S6">
            <v>5</v>
          </cell>
          <cell r="AM6">
            <v>14033596.600000001</v>
          </cell>
          <cell r="AX6">
            <v>3048447.5999999996</v>
          </cell>
          <cell r="BC6">
            <v>479205</v>
          </cell>
          <cell r="BM6">
            <v>3316098.5999999996</v>
          </cell>
        </row>
        <row r="7">
          <cell r="B7" t="str">
            <v xml:space="preserve"> МКОУ Анди СОШ №2 </v>
          </cell>
          <cell r="M7">
            <v>53</v>
          </cell>
          <cell r="O7">
            <v>99</v>
          </cell>
          <cell r="S7">
            <v>2</v>
          </cell>
          <cell r="AM7">
            <v>13995282.600000001</v>
          </cell>
          <cell r="AX7">
            <v>2461506</v>
          </cell>
          <cell r="BC7">
            <v>670887</v>
          </cell>
          <cell r="BM7">
            <v>2788973.0999999996</v>
          </cell>
        </row>
        <row r="8">
          <cell r="B8" t="str">
            <v xml:space="preserve"> МКОУ Ансалта СОШ</v>
          </cell>
          <cell r="M8">
            <v>56</v>
          </cell>
          <cell r="O8">
            <v>137</v>
          </cell>
          <cell r="S8">
            <v>4</v>
          </cell>
          <cell r="AM8">
            <v>14379952</v>
          </cell>
          <cell r="AX8">
            <v>2184576</v>
          </cell>
          <cell r="BC8">
            <v>416700</v>
          </cell>
          <cell r="BM8">
            <v>3533616</v>
          </cell>
        </row>
        <row r="9">
          <cell r="B9" t="str">
            <v xml:space="preserve"> МКОУ Ашали ООШ</v>
          </cell>
          <cell r="M9">
            <v>4</v>
          </cell>
          <cell r="O9">
            <v>17</v>
          </cell>
          <cell r="S9">
            <v>0</v>
          </cell>
          <cell r="AM9">
            <v>5123096.8000000007</v>
          </cell>
          <cell r="AX9">
            <v>658204.80000000005</v>
          </cell>
          <cell r="BC9">
            <v>220434.3</v>
          </cell>
          <cell r="BM9">
            <v>1705969.7999999998</v>
          </cell>
        </row>
        <row r="10">
          <cell r="B10" t="str">
            <v xml:space="preserve">МКОУ БСШ №1 </v>
          </cell>
          <cell r="M10">
            <v>61</v>
          </cell>
          <cell r="O10">
            <v>197</v>
          </cell>
          <cell r="S10">
            <v>10</v>
          </cell>
          <cell r="AM10">
            <v>20341779</v>
          </cell>
          <cell r="AX10">
            <v>2549772</v>
          </cell>
          <cell r="BC10">
            <v>666720</v>
          </cell>
          <cell r="BM10">
            <v>3433608</v>
          </cell>
        </row>
        <row r="11">
          <cell r="B11" t="str">
            <v xml:space="preserve"> МКОУ БСШ №2</v>
          </cell>
          <cell r="M11">
            <v>67</v>
          </cell>
          <cell r="O11">
            <v>207</v>
          </cell>
          <cell r="S11">
            <v>11</v>
          </cell>
          <cell r="AM11">
            <v>20944152.600000001</v>
          </cell>
          <cell r="AX11">
            <v>2310540</v>
          </cell>
          <cell r="BC11">
            <v>916740</v>
          </cell>
          <cell r="BM11">
            <v>2716884</v>
          </cell>
        </row>
        <row r="12">
          <cell r="B12" t="str">
            <v xml:space="preserve">МКОУ БСШ №3 </v>
          </cell>
          <cell r="M12">
            <v>14</v>
          </cell>
          <cell r="O12">
            <v>45</v>
          </cell>
          <cell r="S12">
            <v>1</v>
          </cell>
          <cell r="AM12">
            <v>7884814.1999999993</v>
          </cell>
          <cell r="AX12">
            <v>1172448</v>
          </cell>
          <cell r="BC12">
            <v>500040</v>
          </cell>
          <cell r="BM12">
            <v>1691802</v>
          </cell>
        </row>
        <row r="13">
          <cell r="B13" t="str">
            <v xml:space="preserve">МКОУ Гагатли СОШ </v>
          </cell>
          <cell r="M13">
            <v>36</v>
          </cell>
          <cell r="O13">
            <v>96</v>
          </cell>
          <cell r="S13">
            <v>0</v>
          </cell>
          <cell r="AM13">
            <v>12561181.399999999</v>
          </cell>
          <cell r="AX13">
            <v>1927142.4000000001</v>
          </cell>
          <cell r="BC13">
            <v>479205</v>
          </cell>
          <cell r="BM13">
            <v>1926404.0999999999</v>
          </cell>
        </row>
        <row r="14">
          <cell r="B14" t="str">
            <v xml:space="preserve"> МКОУ Годобери СОШ  </v>
          </cell>
          <cell r="M14">
            <v>47</v>
          </cell>
          <cell r="O14">
            <v>132</v>
          </cell>
          <cell r="S14">
            <v>3</v>
          </cell>
          <cell r="AM14">
            <v>15462093.399999999</v>
          </cell>
          <cell r="AX14">
            <v>2714722.2</v>
          </cell>
          <cell r="BC14">
            <v>670887</v>
          </cell>
          <cell r="BM14">
            <v>4475774.6999999993</v>
          </cell>
        </row>
        <row r="15">
          <cell r="B15" t="str">
            <v xml:space="preserve"> МКОУ Зило СОШ  </v>
          </cell>
          <cell r="M15">
            <v>13</v>
          </cell>
          <cell r="O15">
            <v>24</v>
          </cell>
          <cell r="S15">
            <v>1</v>
          </cell>
          <cell r="AM15">
            <v>6112114.8000000007</v>
          </cell>
          <cell r="AX15">
            <v>1344230.3999999999</v>
          </cell>
          <cell r="BC15">
            <v>412116.30000000005</v>
          </cell>
          <cell r="BM15">
            <v>2319352.2000000002</v>
          </cell>
        </row>
        <row r="16">
          <cell r="B16" t="str">
            <v xml:space="preserve"> МКОУ Кванхидатли ООШ  </v>
          </cell>
          <cell r="M16">
            <v>4</v>
          </cell>
          <cell r="O16">
            <v>12</v>
          </cell>
          <cell r="S16">
            <v>1</v>
          </cell>
          <cell r="AM16">
            <v>5305219</v>
          </cell>
          <cell r="AX16">
            <v>577848</v>
          </cell>
          <cell r="BC16">
            <v>166680</v>
          </cell>
          <cell r="BM16">
            <v>1508454.0000000002</v>
          </cell>
        </row>
        <row r="17">
          <cell r="B17" t="str">
            <v xml:space="preserve"> МКОУ Миарсо СОШ  </v>
          </cell>
          <cell r="M17">
            <v>30</v>
          </cell>
          <cell r="O17">
            <v>65</v>
          </cell>
          <cell r="S17">
            <v>3</v>
          </cell>
          <cell r="AM17">
            <v>10045079</v>
          </cell>
          <cell r="AX17">
            <v>1489896</v>
          </cell>
          <cell r="BC17">
            <v>500040</v>
          </cell>
          <cell r="BM17">
            <v>2583540</v>
          </cell>
        </row>
        <row r="18">
          <cell r="B18" t="str">
            <v xml:space="preserve"> МКОУ Муни СОШ  </v>
          </cell>
          <cell r="M18">
            <v>32</v>
          </cell>
          <cell r="O18">
            <v>127</v>
          </cell>
          <cell r="S18">
            <v>5</v>
          </cell>
          <cell r="AM18">
            <v>15708297</v>
          </cell>
          <cell r="AX18">
            <v>1791348</v>
          </cell>
          <cell r="BC18">
            <v>416700</v>
          </cell>
          <cell r="BM18">
            <v>2216844</v>
          </cell>
        </row>
        <row r="19">
          <cell r="B19" t="str">
            <v xml:space="preserve"> МКОУ Ортоколо СОШ  </v>
          </cell>
          <cell r="M19">
            <v>10</v>
          </cell>
          <cell r="O19">
            <v>42</v>
          </cell>
          <cell r="S19">
            <v>1</v>
          </cell>
          <cell r="AM19">
            <v>6369365</v>
          </cell>
          <cell r="AX19">
            <v>1144332</v>
          </cell>
          <cell r="BC19">
            <v>441702</v>
          </cell>
          <cell r="BM19">
            <v>1108422</v>
          </cell>
        </row>
        <row r="20">
          <cell r="B20" t="str">
            <v xml:space="preserve"> МКОУ Рахата СОШ  </v>
          </cell>
          <cell r="M20">
            <v>56</v>
          </cell>
          <cell r="O20">
            <v>159</v>
          </cell>
          <cell r="S20">
            <v>2</v>
          </cell>
          <cell r="AM20">
            <v>13230467</v>
          </cell>
          <cell r="AX20">
            <v>2198424</v>
          </cell>
          <cell r="BC20">
            <v>666720</v>
          </cell>
          <cell r="BM20">
            <v>2216844</v>
          </cell>
        </row>
        <row r="21">
          <cell r="B21" t="str">
            <v xml:space="preserve"> МКОУ Риквани СОШ  </v>
          </cell>
          <cell r="M21">
            <v>5</v>
          </cell>
          <cell r="O21">
            <v>25</v>
          </cell>
          <cell r="S21">
            <v>0</v>
          </cell>
          <cell r="AM21">
            <v>5853347.8000000007</v>
          </cell>
          <cell r="AX21">
            <v>1089717</v>
          </cell>
          <cell r="BC21">
            <v>507957.30000000005</v>
          </cell>
          <cell r="BM21">
            <v>1705969.7999999998</v>
          </cell>
        </row>
        <row r="22">
          <cell r="B22" t="str">
            <v xml:space="preserve"> МКОУ Тандо СОШ  </v>
          </cell>
          <cell r="M22">
            <v>6</v>
          </cell>
          <cell r="O22">
            <v>22</v>
          </cell>
          <cell r="S22">
            <v>1</v>
          </cell>
          <cell r="AM22">
            <v>7488781</v>
          </cell>
          <cell r="AX22">
            <v>1086552</v>
          </cell>
          <cell r="BC22">
            <v>358362</v>
          </cell>
          <cell r="BM22">
            <v>1400112</v>
          </cell>
        </row>
        <row r="23">
          <cell r="B23" t="str">
            <v xml:space="preserve"> МКОУ Тасута ООШ  </v>
          </cell>
          <cell r="M23">
            <v>3</v>
          </cell>
          <cell r="O23">
            <v>8</v>
          </cell>
          <cell r="S23">
            <v>0</v>
          </cell>
          <cell r="AM23">
            <v>5878806.0199999996</v>
          </cell>
          <cell r="AX23">
            <v>688978.8</v>
          </cell>
          <cell r="BC23">
            <v>220434.3</v>
          </cell>
          <cell r="BM23">
            <v>1063835.1000000001</v>
          </cell>
        </row>
        <row r="24">
          <cell r="B24" t="str">
            <v xml:space="preserve"> МКОУ Тлох СОШ  </v>
          </cell>
          <cell r="M24">
            <v>31</v>
          </cell>
          <cell r="O24">
            <v>146</v>
          </cell>
          <cell r="S24">
            <v>16</v>
          </cell>
          <cell r="AM24">
            <v>17195711</v>
          </cell>
          <cell r="AX24">
            <v>2001792</v>
          </cell>
          <cell r="BC24">
            <v>416700</v>
          </cell>
          <cell r="BM24">
            <v>2758554</v>
          </cell>
        </row>
        <row r="25">
          <cell r="B25" t="str">
            <v xml:space="preserve"> МКОУ Хелетури СОШ  </v>
          </cell>
          <cell r="M25">
            <v>3</v>
          </cell>
          <cell r="O25">
            <v>7</v>
          </cell>
          <cell r="S25">
            <v>0</v>
          </cell>
          <cell r="AM25">
            <v>6490495.8000000007</v>
          </cell>
          <cell r="AX25">
            <v>1073833.2000000002</v>
          </cell>
          <cell r="BC25">
            <v>412116.30000000005</v>
          </cell>
          <cell r="BM25">
            <v>2098917.9000000004</v>
          </cell>
        </row>
        <row r="26">
          <cell r="B26" t="str">
            <v xml:space="preserve"> МКОУ Чанко СОШ  </v>
          </cell>
          <cell r="M26">
            <v>7</v>
          </cell>
          <cell r="O26">
            <v>11</v>
          </cell>
          <cell r="S26">
            <v>1</v>
          </cell>
          <cell r="AM26">
            <v>7179381.8000000007</v>
          </cell>
          <cell r="AX26">
            <v>1208838.6000000001</v>
          </cell>
          <cell r="BC26">
            <v>507957.30000000005</v>
          </cell>
          <cell r="BM26">
            <v>1332189.8999999999</v>
          </cell>
        </row>
        <row r="27">
          <cell r="B27" t="str">
            <v xml:space="preserve"> МКОУ Шодрода СОШ  </v>
          </cell>
          <cell r="M27">
            <v>14</v>
          </cell>
          <cell r="O27">
            <v>21</v>
          </cell>
          <cell r="S27">
            <v>0</v>
          </cell>
          <cell r="AM27">
            <v>4920567</v>
          </cell>
          <cell r="AX27">
            <v>1084920</v>
          </cell>
          <cell r="BC27">
            <v>441702</v>
          </cell>
          <cell r="BM27">
            <v>1150092</v>
          </cell>
        </row>
        <row r="28">
          <cell r="B28" t="str">
            <v xml:space="preserve"> МКОУ Инхело ООШ  </v>
          </cell>
          <cell r="M28">
            <v>28</v>
          </cell>
          <cell r="O28">
            <v>68</v>
          </cell>
          <cell r="S28">
            <v>0</v>
          </cell>
          <cell r="AM28">
            <v>5497430</v>
          </cell>
          <cell r="AX28">
            <v>872004</v>
          </cell>
          <cell r="BC28">
            <v>358362</v>
          </cell>
          <cell r="BM28">
            <v>1125090</v>
          </cell>
        </row>
        <row r="29">
          <cell r="B29" t="str">
            <v xml:space="preserve"> МКОУ Кижани ООШ  </v>
          </cell>
          <cell r="M29">
            <v>10</v>
          </cell>
          <cell r="O29">
            <v>24</v>
          </cell>
          <cell r="S29">
            <v>0</v>
          </cell>
          <cell r="AM29">
            <v>5009235</v>
          </cell>
          <cell r="AX29">
            <v>659571</v>
          </cell>
          <cell r="BC29">
            <v>220434.3</v>
          </cell>
          <cell r="BM29">
            <v>1324522.6200000001</v>
          </cell>
        </row>
        <row r="30">
          <cell r="B30" t="str">
            <v xml:space="preserve"> МКОУ Беледи НОШ  </v>
          </cell>
          <cell r="M30">
            <v>0</v>
          </cell>
          <cell r="O30">
            <v>2</v>
          </cell>
          <cell r="S30">
            <v>0</v>
          </cell>
          <cell r="AM30">
            <v>440428</v>
          </cell>
          <cell r="AX30">
            <v>29421.600000000002</v>
          </cell>
          <cell r="BC30">
            <v>0</v>
          </cell>
          <cell r="BM30">
            <v>249186.59999999998</v>
          </cell>
        </row>
        <row r="31">
          <cell r="B31" t="str">
            <v xml:space="preserve"> МКОУ В-Алак НОШ  </v>
          </cell>
          <cell r="M31">
            <v>2</v>
          </cell>
          <cell r="O31">
            <v>2</v>
          </cell>
          <cell r="S31">
            <v>0</v>
          </cell>
          <cell r="AM31">
            <v>820816</v>
          </cell>
          <cell r="AX31">
            <v>27241.199999999997</v>
          </cell>
          <cell r="BC31">
            <v>0</v>
          </cell>
          <cell r="BM31">
            <v>249186.59999999998</v>
          </cell>
        </row>
        <row r="32">
          <cell r="B32" t="str">
            <v xml:space="preserve"> МКОУ Гунха НОШ  </v>
          </cell>
          <cell r="M32">
            <v>1</v>
          </cell>
          <cell r="O32">
            <v>5</v>
          </cell>
          <cell r="S32">
            <v>0</v>
          </cell>
          <cell r="AM32">
            <v>1107245.92</v>
          </cell>
          <cell r="AX32">
            <v>23680.800000000003</v>
          </cell>
          <cell r="BC32">
            <v>0</v>
          </cell>
          <cell r="BM32">
            <v>249186.59999999998</v>
          </cell>
        </row>
        <row r="33">
          <cell r="B33" t="str">
            <v xml:space="preserve"> МКОУ Зибирхали НОШ  </v>
          </cell>
          <cell r="M33">
            <v>2</v>
          </cell>
          <cell r="O33">
            <v>2</v>
          </cell>
          <cell r="S33">
            <v>0</v>
          </cell>
          <cell r="AM33">
            <v>522455.19999999995</v>
          </cell>
          <cell r="AX33">
            <v>29421.600000000002</v>
          </cell>
          <cell r="BC33">
            <v>0</v>
          </cell>
          <cell r="BM33">
            <v>249186.59999999998</v>
          </cell>
        </row>
        <row r="34">
          <cell r="B34" t="str">
            <v xml:space="preserve"> МКОУ Н-Алак НОШ  </v>
          </cell>
          <cell r="M34">
            <v>2</v>
          </cell>
          <cell r="O34">
            <v>2</v>
          </cell>
          <cell r="S34">
            <v>0</v>
          </cell>
          <cell r="AM34">
            <v>687293</v>
          </cell>
          <cell r="AX34">
            <v>25584</v>
          </cell>
          <cell r="BC34">
            <v>0</v>
          </cell>
          <cell r="BM34">
            <v>216684</v>
          </cell>
        </row>
        <row r="35">
          <cell r="B35" t="str">
            <v xml:space="preserve"> МКОУ Шиворта НОШ  </v>
          </cell>
          <cell r="M35">
            <v>0</v>
          </cell>
          <cell r="O35">
            <v>1</v>
          </cell>
          <cell r="S35">
            <v>0</v>
          </cell>
          <cell r="AM35">
            <v>541296.19999999995</v>
          </cell>
          <cell r="AX35">
            <v>23694.6</v>
          </cell>
          <cell r="BC35">
            <v>0</v>
          </cell>
          <cell r="BM35">
            <v>249186.59999999998</v>
          </cell>
        </row>
        <row r="42">
          <cell r="B42" t="str">
            <v xml:space="preserve">Инхело ООШ МКУ </v>
          </cell>
          <cell r="AD42">
            <v>0</v>
          </cell>
          <cell r="AM42">
            <v>0</v>
          </cell>
        </row>
        <row r="43">
          <cell r="B43" t="str">
            <v>Кванхидатли ООШ МКУ</v>
          </cell>
          <cell r="AD43">
            <v>0</v>
          </cell>
          <cell r="AM43">
            <v>0</v>
          </cell>
        </row>
        <row r="44">
          <cell r="B44" t="str">
            <v>Кижани ООШ МКУ</v>
          </cell>
          <cell r="AD44">
            <v>0</v>
          </cell>
          <cell r="AM44">
            <v>0</v>
          </cell>
        </row>
        <row r="45">
          <cell r="B45" t="str">
            <v>Миарсо СОШ МКУ</v>
          </cell>
          <cell r="AD45">
            <v>0</v>
          </cell>
          <cell r="AM45">
            <v>0</v>
          </cell>
        </row>
        <row r="46">
          <cell r="B46" t="str">
            <v>Ортоколо СОШ МКУ</v>
          </cell>
          <cell r="AD46">
            <v>0</v>
          </cell>
          <cell r="AM46">
            <v>0</v>
          </cell>
        </row>
        <row r="47">
          <cell r="B47" t="str">
            <v>Риквани СОШ МКУ</v>
          </cell>
          <cell r="AD47">
            <v>0</v>
          </cell>
          <cell r="AM47">
            <v>0</v>
          </cell>
        </row>
        <row r="48">
          <cell r="B48" t="str">
            <v>Тасута ООШ МКУ</v>
          </cell>
          <cell r="AD48">
            <v>0</v>
          </cell>
          <cell r="AM48">
            <v>0</v>
          </cell>
        </row>
        <row r="49">
          <cell r="B49" t="str">
            <v>Хелетури СОШ МКУ</v>
          </cell>
          <cell r="AD49">
            <v>0</v>
          </cell>
          <cell r="AM49">
            <v>0</v>
          </cell>
        </row>
        <row r="50">
          <cell r="B50" t="str">
            <v>Чанко СОШ МКУ</v>
          </cell>
          <cell r="AD50">
            <v>0</v>
          </cell>
          <cell r="AM50">
            <v>0</v>
          </cell>
        </row>
      </sheetData>
      <sheetData sheetId="113">
        <row r="10">
          <cell r="W10">
            <v>20</v>
          </cell>
          <cell r="BM10">
            <v>449675.74444444443</v>
          </cell>
          <cell r="CG10">
            <v>1344490.52</v>
          </cell>
          <cell r="CH10">
            <v>51948.82</v>
          </cell>
          <cell r="CU10">
            <v>1186920</v>
          </cell>
          <cell r="CV10">
            <v>358449.83999999997</v>
          </cell>
        </row>
        <row r="11">
          <cell r="W11">
            <v>20</v>
          </cell>
          <cell r="BM11">
            <v>465914.41111111111</v>
          </cell>
          <cell r="CG11">
            <v>1536938.67</v>
          </cell>
          <cell r="CH11">
            <v>129872.05</v>
          </cell>
          <cell r="CU11">
            <v>1366920</v>
          </cell>
          <cell r="CV11">
            <v>412809.83999999997</v>
          </cell>
        </row>
        <row r="12">
          <cell r="W12">
            <v>21</v>
          </cell>
          <cell r="BM12">
            <v>439547.94444444444</v>
          </cell>
          <cell r="CG12">
            <v>1744226.5</v>
          </cell>
          <cell r="CH12">
            <v>51948.82</v>
          </cell>
          <cell r="CU12">
            <v>1435266</v>
          </cell>
          <cell r="CV12">
            <v>433450.33199999999</v>
          </cell>
        </row>
        <row r="13">
          <cell r="W13">
            <v>24</v>
          </cell>
          <cell r="BM13">
            <v>532030</v>
          </cell>
          <cell r="CG13">
            <v>2231903.69</v>
          </cell>
          <cell r="CH13">
            <v>103897.64</v>
          </cell>
          <cell r="CU13">
            <v>1424304</v>
          </cell>
          <cell r="CV13">
            <v>430139.80799999996</v>
          </cell>
        </row>
        <row r="14">
          <cell r="W14">
            <v>9</v>
          </cell>
          <cell r="BM14">
            <v>182293.27777777778</v>
          </cell>
          <cell r="CG14">
            <v>249785.41</v>
          </cell>
          <cell r="CH14">
            <v>0</v>
          </cell>
          <cell r="CU14">
            <v>615114</v>
          </cell>
          <cell r="CV14">
            <v>185764.42799999999</v>
          </cell>
        </row>
        <row r="15">
          <cell r="W15">
            <v>34</v>
          </cell>
          <cell r="BM15">
            <v>676518.52222222229</v>
          </cell>
          <cell r="CG15">
            <v>3030265.08</v>
          </cell>
          <cell r="CH15">
            <v>259744.1</v>
          </cell>
          <cell r="CU15">
            <v>2017764</v>
          </cell>
          <cell r="CV15">
            <v>609364.728</v>
          </cell>
        </row>
        <row r="16">
          <cell r="W16">
            <v>32</v>
          </cell>
          <cell r="BM16">
            <v>656099.11111111112</v>
          </cell>
          <cell r="CG16">
            <v>3177573.23</v>
          </cell>
          <cell r="CH16">
            <v>285718.51</v>
          </cell>
          <cell r="CU16">
            <v>1899072</v>
          </cell>
          <cell r="CV16">
            <v>573519.74399999995</v>
          </cell>
        </row>
        <row r="17">
          <cell r="W17">
            <v>11</v>
          </cell>
          <cell r="BM17">
            <v>300073.46666666667</v>
          </cell>
          <cell r="CG17">
            <v>695780.18</v>
          </cell>
          <cell r="CH17">
            <v>25974.41</v>
          </cell>
          <cell r="CU17">
            <v>652806</v>
          </cell>
          <cell r="CV17">
            <v>197147.41199999998</v>
          </cell>
        </row>
        <row r="18">
          <cell r="W18">
            <v>20</v>
          </cell>
          <cell r="BM18">
            <v>397740.5</v>
          </cell>
          <cell r="CG18">
            <v>1546899.72</v>
          </cell>
          <cell r="CH18">
            <v>0</v>
          </cell>
          <cell r="CU18">
            <v>1366920</v>
          </cell>
          <cell r="CV18">
            <v>412809.83999999997</v>
          </cell>
        </row>
        <row r="19">
          <cell r="W19">
            <v>26</v>
          </cell>
          <cell r="BM19">
            <v>559201.27777777775</v>
          </cell>
          <cell r="CG19">
            <v>2101267.96</v>
          </cell>
          <cell r="CH19">
            <v>77923.23</v>
          </cell>
          <cell r="CU19">
            <v>1776991.9999999998</v>
          </cell>
          <cell r="CV19">
            <v>536651.58399999992</v>
          </cell>
        </row>
        <row r="20">
          <cell r="W20">
            <v>11</v>
          </cell>
          <cell r="BM20">
            <v>272246.94444444444</v>
          </cell>
          <cell r="CG20">
            <v>427288.56</v>
          </cell>
          <cell r="CH20">
            <v>25974.41</v>
          </cell>
          <cell r="CU20">
            <v>751805.99999999988</v>
          </cell>
          <cell r="CV20">
            <v>227045.41199999995</v>
          </cell>
        </row>
        <row r="21">
          <cell r="W21">
            <v>9</v>
          </cell>
          <cell r="BM21">
            <v>216814.68888888884</v>
          </cell>
          <cell r="CG21">
            <v>188178.15</v>
          </cell>
          <cell r="CH21">
            <v>25974.41</v>
          </cell>
          <cell r="CU21">
            <v>534114</v>
          </cell>
          <cell r="CV21">
            <v>161302.42799999999</v>
          </cell>
        </row>
        <row r="22">
          <cell r="W22">
            <v>17</v>
          </cell>
          <cell r="BM22">
            <v>393146.66666666669</v>
          </cell>
          <cell r="CG22">
            <v>1104261.32</v>
          </cell>
          <cell r="CH22">
            <v>77923.23</v>
          </cell>
          <cell r="CU22">
            <v>1008882</v>
          </cell>
          <cell r="CV22">
            <v>304682.364</v>
          </cell>
        </row>
        <row r="23">
          <cell r="W23">
            <v>25</v>
          </cell>
          <cell r="BM23">
            <v>496917.44444444444</v>
          </cell>
          <cell r="CG23">
            <v>1864801.34</v>
          </cell>
          <cell r="CH23">
            <v>129872.05</v>
          </cell>
          <cell r="CU23">
            <v>1483650</v>
          </cell>
          <cell r="CV23">
            <v>448062.3</v>
          </cell>
        </row>
        <row r="24">
          <cell r="W24">
            <v>11</v>
          </cell>
          <cell r="BM24">
            <v>289959.91111111105</v>
          </cell>
          <cell r="CG24">
            <v>606011.71</v>
          </cell>
          <cell r="CH24">
            <v>25974.41</v>
          </cell>
          <cell r="CU24">
            <v>652806</v>
          </cell>
          <cell r="CV24">
            <v>197147.41199999998</v>
          </cell>
        </row>
        <row r="25">
          <cell r="W25">
            <v>27</v>
          </cell>
          <cell r="BM25">
            <v>513298.5555555555</v>
          </cell>
          <cell r="CG25">
            <v>2502732.73</v>
          </cell>
          <cell r="CH25">
            <v>51948.82</v>
          </cell>
          <cell r="CU25">
            <v>1602342</v>
          </cell>
          <cell r="CV25">
            <v>483907.28399999999</v>
          </cell>
        </row>
        <row r="26">
          <cell r="W26">
            <v>10</v>
          </cell>
          <cell r="BM26">
            <v>228943.83333333334</v>
          </cell>
          <cell r="CG26">
            <v>358361.3</v>
          </cell>
          <cell r="CH26">
            <v>0</v>
          </cell>
          <cell r="CU26">
            <v>683460</v>
          </cell>
          <cell r="CV26">
            <v>206404.91999999998</v>
          </cell>
        </row>
        <row r="27">
          <cell r="W27">
            <v>11</v>
          </cell>
          <cell r="BM27">
            <v>268806.91111111111</v>
          </cell>
          <cell r="CG27">
            <v>319322.67</v>
          </cell>
          <cell r="CH27">
            <v>25974.41</v>
          </cell>
          <cell r="CU27">
            <v>652806</v>
          </cell>
          <cell r="CV27">
            <v>197147.41199999998</v>
          </cell>
        </row>
        <row r="28">
          <cell r="W28">
            <v>9</v>
          </cell>
          <cell r="BM28">
            <v>170434.77777777778</v>
          </cell>
          <cell r="CG28">
            <v>128908.31</v>
          </cell>
          <cell r="CH28">
            <v>0</v>
          </cell>
          <cell r="CU28">
            <v>615114</v>
          </cell>
          <cell r="CV28">
            <v>185764.42799999999</v>
          </cell>
        </row>
        <row r="29">
          <cell r="W29">
            <v>27</v>
          </cell>
          <cell r="BM29">
            <v>605688.02222222218</v>
          </cell>
          <cell r="CG29">
            <v>2075037.81</v>
          </cell>
          <cell r="CH29">
            <v>415590.56</v>
          </cell>
          <cell r="CU29">
            <v>1602342</v>
          </cell>
          <cell r="CV29">
            <v>483907.28399999999</v>
          </cell>
        </row>
        <row r="30">
          <cell r="W30">
            <v>11</v>
          </cell>
          <cell r="BM30">
            <v>254548.22222222222</v>
          </cell>
          <cell r="CG30">
            <v>116607.1</v>
          </cell>
          <cell r="CH30">
            <v>0</v>
          </cell>
          <cell r="CU30">
            <v>751805.99999999988</v>
          </cell>
          <cell r="CV30">
            <v>227045.41199999995</v>
          </cell>
        </row>
        <row r="31">
          <cell r="W31">
            <v>11</v>
          </cell>
          <cell r="BM31">
            <v>234249.88888888888</v>
          </cell>
          <cell r="CG31">
            <v>194175.57</v>
          </cell>
          <cell r="CH31">
            <v>25974.41</v>
          </cell>
          <cell r="CU31">
            <v>751805.99999999988</v>
          </cell>
          <cell r="CV31">
            <v>227045.41199999995</v>
          </cell>
        </row>
        <row r="32">
          <cell r="W32">
            <v>11</v>
          </cell>
          <cell r="BM32">
            <v>234997.72222222222</v>
          </cell>
          <cell r="CG32">
            <v>400652.35</v>
          </cell>
          <cell r="CH32">
            <v>0</v>
          </cell>
          <cell r="CU32">
            <v>652806</v>
          </cell>
          <cell r="CV32">
            <v>197147.41199999998</v>
          </cell>
        </row>
        <row r="33">
          <cell r="W33">
            <v>12</v>
          </cell>
          <cell r="BM33">
            <v>230475.11111111112</v>
          </cell>
          <cell r="CG33">
            <v>1121136.1599999999</v>
          </cell>
          <cell r="CH33">
            <v>0</v>
          </cell>
          <cell r="CU33">
            <v>712152</v>
          </cell>
          <cell r="CV33">
            <v>215069.90399999998</v>
          </cell>
        </row>
        <row r="34">
          <cell r="W34">
            <v>9</v>
          </cell>
          <cell r="BM34">
            <v>182357.37777777776</v>
          </cell>
          <cell r="CG34">
            <v>396891.14</v>
          </cell>
          <cell r="CH34">
            <v>0</v>
          </cell>
          <cell r="CU34">
            <v>615114</v>
          </cell>
          <cell r="CV34">
            <v>185764.42799999999</v>
          </cell>
        </row>
        <row r="35">
          <cell r="W35">
            <v>1</v>
          </cell>
          <cell r="BM35">
            <v>19906.611111111113</v>
          </cell>
          <cell r="CG35">
            <v>24602.42</v>
          </cell>
          <cell r="CH35">
            <v>0</v>
          </cell>
          <cell r="CU35">
            <v>68346</v>
          </cell>
          <cell r="CV35">
            <v>20640.491999999998</v>
          </cell>
        </row>
        <row r="36">
          <cell r="W36">
            <v>2</v>
          </cell>
          <cell r="BM36">
            <v>27741.055555555555</v>
          </cell>
          <cell r="CG36">
            <v>44934.84</v>
          </cell>
          <cell r="CH36">
            <v>0</v>
          </cell>
          <cell r="CU36">
            <v>136692</v>
          </cell>
          <cell r="CV36">
            <v>41280.983999999997</v>
          </cell>
        </row>
        <row r="37">
          <cell r="W37">
            <v>2</v>
          </cell>
          <cell r="BM37">
            <v>31480.222222222223</v>
          </cell>
          <cell r="CG37">
            <v>71672.259999999995</v>
          </cell>
          <cell r="CH37">
            <v>0</v>
          </cell>
          <cell r="CU37">
            <v>136692</v>
          </cell>
          <cell r="CV37">
            <v>41280.983999999997</v>
          </cell>
        </row>
        <row r="38">
          <cell r="W38">
            <v>1</v>
          </cell>
          <cell r="BM38">
            <v>19906.611111111113</v>
          </cell>
          <cell r="CG38">
            <v>44934.84</v>
          </cell>
          <cell r="CH38">
            <v>0</v>
          </cell>
          <cell r="CU38">
            <v>68346</v>
          </cell>
          <cell r="CV38">
            <v>20640.491999999998</v>
          </cell>
        </row>
        <row r="39">
          <cell r="W39">
            <v>2</v>
          </cell>
          <cell r="BM39">
            <v>27741.055555555555</v>
          </cell>
          <cell r="CG39">
            <v>44934.84</v>
          </cell>
          <cell r="CH39">
            <v>0</v>
          </cell>
          <cell r="CU39">
            <v>118692</v>
          </cell>
          <cell r="CV39">
            <v>35844.983999999997</v>
          </cell>
        </row>
        <row r="40">
          <cell r="W40">
            <v>1</v>
          </cell>
          <cell r="BM40">
            <v>19906.611111111113</v>
          </cell>
          <cell r="CG40">
            <v>12301.21</v>
          </cell>
          <cell r="CH40">
            <v>0</v>
          </cell>
          <cell r="CU40">
            <v>68346</v>
          </cell>
          <cell r="CV40">
            <v>20640.491999999998</v>
          </cell>
        </row>
        <row r="41">
          <cell r="CG41">
            <v>29706877.590000007</v>
          </cell>
          <cell r="CH41">
            <v>1792234.29</v>
          </cell>
          <cell r="CI41">
            <v>1217700</v>
          </cell>
          <cell r="CJ41">
            <v>83160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2"/>
      <sheetName val="Экран контр"/>
      <sheetName val="Свод бюджета района"/>
      <sheetName val="Аппарат свод"/>
      <sheetName val="МКУ УСХ"/>
      <sheetName val="АУ РУО"/>
      <sheetName val="ясли сады"/>
      <sheetName val="МКУ Методцентр"/>
      <sheetName val="МКУ Хозслужба"/>
      <sheetName val="№2 разд подр расходы нов"/>
      <sheetName val="Доходы №3 нов"/>
      <sheetName val="Оценка №4"/>
      <sheetName val="межбюд тран.№5 нов"/>
      <sheetName val="РазПодр №6"/>
      <sheetName val="ВСРБМР 7"/>
      <sheetName val="расшифр 1 к №7"/>
      <sheetName val="Муниц прогр №17"/>
      <sheetName val="смета резер 18"/>
      <sheetName val="Смета дох и расх по дор фон №19"/>
      <sheetName val="Публ. объяз 20"/>
      <sheetName val="КУМИ 0113"/>
      <sheetName val="МБУ ЦБ"/>
      <sheetName val="МБУ ЦБ прил  №21"/>
      <sheetName val="МБУ ЖКХ"/>
      <sheetName val="МБУ ЖКХ прил №23"/>
      <sheetName val="МБУ ЖКХ контр обн"/>
      <sheetName val="Свод образ"/>
      <sheetName val="псих"/>
      <sheetName val="прилож №15 гостан "/>
      <sheetName val="Гр кратк пребыв"/>
      <sheetName val="Внешколь учр МБУ"/>
      <sheetName val="ДЮСШ и РЦДОД и Ю МБУ"/>
      <sheetName val="МБУ внеш учр прил  №22"/>
      <sheetName val="Свод культ"/>
      <sheetName val="МКУ ФОК"/>
      <sheetName val="редакция МКУ "/>
      <sheetName val="Сводсоцпол"/>
      <sheetName val="Долги №24"/>
      <sheetName val="Аппарат свод (контр)  "/>
      <sheetName val="ФУ АМР (контр)"/>
      <sheetName val="УСХ контр"/>
      <sheetName val="МКУ Хозслужба конт"/>
      <sheetName val="Свод образ (контр)"/>
      <sheetName val="СШ (контр)"/>
      <sheetName val="СШ (контр) (2)"/>
      <sheetName val="СШ (контр) по программе)"/>
      <sheetName val="ООШ НШ контр по программе"/>
      <sheetName val="ООШ НШ (контр)  "/>
      <sheetName val="ясли сады (контр)"/>
      <sheetName val="ясли сады (контр) по программе"/>
      <sheetName val="Школы через РА (контр)"/>
      <sheetName val="ясли сады (контр) через РА"/>
      <sheetName val="Свод культ контр"/>
      <sheetName val="МКУ ФОК конт"/>
      <sheetName val="Редакция  (контр)"/>
      <sheetName val="Свод культ расш ст 228"/>
      <sheetName val="Школы расш ст 226 228"/>
      <sheetName val="ясли сады расш ст 226 228"/>
      <sheetName val="Апп Св конт"/>
      <sheetName val="УФ и Э конт"/>
      <sheetName val="УСХ КОНТ"/>
      <sheetName val="Хоз служ конт"/>
      <sheetName val="Свод образ (контр) (2)"/>
      <sheetName val="СШ конт"/>
      <sheetName val="СШ (контр) по программе) (2)"/>
      <sheetName val="ООШ НШ (контр)   (2)"/>
      <sheetName val="ясли сады (контр) (2)"/>
      <sheetName val="ясли сады (контр) по програ (2"/>
      <sheetName val="Свод культ контр (2)"/>
      <sheetName val="МКУ ФОК конт (2)"/>
      <sheetName val="Редакция  (контр) (2)"/>
      <sheetName val="МБУ внеш учр прил  №22 (2)"/>
      <sheetName val="МБУ ЖКХ прил №23 контр"/>
      <sheetName val="Субс посел на город среду 13"/>
      <sheetName val="Субсид посел №12"/>
      <sheetName val="Субв пос на перед полн №11"/>
      <sheetName val="коэфф зарплаты"/>
      <sheetName val="Бюдж расх посел"/>
      <sheetName val="Полож дотац"/>
      <sheetName val="Расчет дотации"/>
      <sheetName val="Расч дот РФФПП"/>
      <sheetName val="Автоакц расш №2 к прил 7"/>
      <sheetName val="Налоги посел 8"/>
      <sheetName val="ВУС 14"/>
      <sheetName val="Дотация пос 10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Прил №16  Пит уча 1 4кл "/>
      <sheetName val="прил №25 классное руководство"/>
      <sheetName val="прил №16  пит уч на дом обуч"/>
      <sheetName val="Расц"/>
      <sheetName val="Школы"/>
      <sheetName val="учительство  "/>
      <sheetName val="Свод педнагрузка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штат"/>
      <sheetName val="Свод школ"/>
      <sheetName val=" Алак СОШ"/>
      <sheetName val="Анди СОШ №1"/>
      <sheetName val="Анди СОШ №2"/>
      <sheetName val="Ансалта СОШ "/>
      <sheetName val="Ашали ООШ  "/>
      <sheetName val="БСШ №1  "/>
      <sheetName val="БСШ №2  "/>
      <sheetName val="БСШ №3  "/>
      <sheetName val="Гагатли СОШ "/>
      <sheetName val="Годобери СОШ "/>
      <sheetName val="Зило СОШ "/>
      <sheetName val="Кванхидатли ООШ "/>
      <sheetName val="Миарсо СОШ "/>
      <sheetName val="Муни СОШ "/>
      <sheetName val="Ортоколо СОШ "/>
      <sheetName val="Рахата СОШ  "/>
      <sheetName val="Риквани СОШ "/>
      <sheetName val="Тандо СОШ "/>
      <sheetName val="Тасута ООШ "/>
      <sheetName val="Тлох СОШ "/>
      <sheetName val="Хелетури СОШ "/>
      <sheetName val="Чанко СОШ "/>
      <sheetName val="Шодрода СОШ "/>
      <sheetName val="Инхело ООШ "/>
      <sheetName val="Кижани ООШ "/>
      <sheetName val="Беледи НОШ "/>
      <sheetName val="В-Алак НОШ "/>
      <sheetName val="Гунха НОШ "/>
      <sheetName val="Зибирхали НОШ "/>
      <sheetName val="Н-Алак НОШ "/>
      <sheetName val="Шиворта НОШ 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  <sheetName val="0408"/>
      <sheetName val="0502"/>
      <sheetName val="отдел субсид"/>
      <sheetName val="Благоустр 0503"/>
      <sheetName val="Благоустр посел   "/>
      <sheetName val="Переч МП23"/>
      <sheetName val="МКУ Ц бухг"/>
      <sheetName val="Автоакцизы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6">
          <cell r="E46">
            <v>101126000</v>
          </cell>
          <cell r="F46">
            <v>80901000</v>
          </cell>
          <cell r="G46">
            <v>80901000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>
        <row r="34">
          <cell r="B34">
            <v>0</v>
          </cell>
        </row>
      </sheetData>
      <sheetData sheetId="75" refreshError="1"/>
      <sheetData sheetId="76" refreshError="1">
        <row r="7">
          <cell r="H7">
            <v>0</v>
          </cell>
          <cell r="P7">
            <v>0</v>
          </cell>
        </row>
        <row r="8">
          <cell r="P8">
            <v>0</v>
          </cell>
        </row>
        <row r="9">
          <cell r="P9">
            <v>0</v>
          </cell>
        </row>
        <row r="10">
          <cell r="P10">
            <v>0</v>
          </cell>
        </row>
        <row r="11">
          <cell r="P11">
            <v>0</v>
          </cell>
        </row>
        <row r="12">
          <cell r="P12">
            <v>0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</sheetData>
      <sheetData sheetId="77" refreshError="1"/>
      <sheetData sheetId="78" refreshError="1"/>
      <sheetData sheetId="79" refreshError="1"/>
      <sheetData sheetId="80" refreshError="1">
        <row r="7">
          <cell r="A7" t="str">
            <v>Алак</v>
          </cell>
          <cell r="D7">
            <v>3045</v>
          </cell>
        </row>
        <row r="8">
          <cell r="D8">
            <v>6815</v>
          </cell>
        </row>
        <row r="9">
          <cell r="D9">
            <v>5383</v>
          </cell>
        </row>
        <row r="10">
          <cell r="D10">
            <v>818</v>
          </cell>
        </row>
        <row r="11">
          <cell r="D11">
            <v>13772</v>
          </cell>
          <cell r="V11">
            <v>0</v>
          </cell>
        </row>
        <row r="12">
          <cell r="D12">
            <v>3856</v>
          </cell>
        </row>
        <row r="13">
          <cell r="D13">
            <v>3542</v>
          </cell>
        </row>
        <row r="14">
          <cell r="D14">
            <v>1254</v>
          </cell>
        </row>
        <row r="15">
          <cell r="D15">
            <v>2120</v>
          </cell>
        </row>
        <row r="16">
          <cell r="D16">
            <v>891</v>
          </cell>
        </row>
        <row r="17">
          <cell r="D17">
            <v>378</v>
          </cell>
        </row>
        <row r="18">
          <cell r="D18">
            <v>2099</v>
          </cell>
        </row>
        <row r="19">
          <cell r="D19">
            <v>4403</v>
          </cell>
        </row>
        <row r="20">
          <cell r="D20">
            <v>3439</v>
          </cell>
        </row>
        <row r="21">
          <cell r="D21">
            <v>1257</v>
          </cell>
        </row>
        <row r="22">
          <cell r="D22">
            <v>790</v>
          </cell>
        </row>
        <row r="23">
          <cell r="D23">
            <v>3095</v>
          </cell>
        </row>
        <row r="24">
          <cell r="D24">
            <v>1476</v>
          </cell>
        </row>
        <row r="25">
          <cell r="D25">
            <v>758</v>
          </cell>
        </row>
        <row r="26">
          <cell r="D26">
            <v>1321</v>
          </cell>
        </row>
        <row r="35">
          <cell r="D35">
            <v>101126000</v>
          </cell>
        </row>
      </sheetData>
      <sheetData sheetId="81" refreshError="1"/>
      <sheetData sheetId="82" refreshError="1">
        <row r="14">
          <cell r="Q14">
            <v>218000</v>
          </cell>
        </row>
        <row r="15">
          <cell r="Q15">
            <v>661000</v>
          </cell>
        </row>
        <row r="16">
          <cell r="Q16">
            <v>238000</v>
          </cell>
        </row>
        <row r="17">
          <cell r="Q17">
            <v>77000</v>
          </cell>
        </row>
        <row r="18">
          <cell r="Q18">
            <v>3870000</v>
          </cell>
        </row>
        <row r="19">
          <cell r="Q19">
            <v>371000</v>
          </cell>
        </row>
        <row r="20">
          <cell r="Q20">
            <v>347000</v>
          </cell>
        </row>
        <row r="21">
          <cell r="Q21">
            <v>141000</v>
          </cell>
        </row>
        <row r="22">
          <cell r="Q22">
            <v>82000</v>
          </cell>
        </row>
        <row r="23">
          <cell r="Q23">
            <v>38000</v>
          </cell>
        </row>
        <row r="24">
          <cell r="Q24">
            <v>64700</v>
          </cell>
        </row>
        <row r="25">
          <cell r="Q25">
            <v>176000</v>
          </cell>
        </row>
        <row r="26">
          <cell r="Q26">
            <v>461000</v>
          </cell>
        </row>
        <row r="27">
          <cell r="Q27">
            <v>151000</v>
          </cell>
        </row>
        <row r="28">
          <cell r="Q28">
            <v>135000</v>
          </cell>
        </row>
        <row r="29">
          <cell r="Q29">
            <v>113000</v>
          </cell>
        </row>
        <row r="30">
          <cell r="Q30">
            <v>315000</v>
          </cell>
        </row>
        <row r="31">
          <cell r="Q31">
            <v>91000</v>
          </cell>
        </row>
        <row r="32">
          <cell r="Q32">
            <v>47000</v>
          </cell>
        </row>
        <row r="33">
          <cell r="Q33">
            <v>114000</v>
          </cell>
        </row>
      </sheetData>
      <sheetData sheetId="83" refreshError="1"/>
      <sheetData sheetId="84" refreshError="1">
        <row r="11">
          <cell r="B11">
            <v>4867116.0630036322</v>
          </cell>
        </row>
        <row r="12">
          <cell r="B12">
            <v>10398044.31694328</v>
          </cell>
        </row>
        <row r="13">
          <cell r="B13">
            <v>8009727.6677433327</v>
          </cell>
        </row>
        <row r="14">
          <cell r="B14">
            <v>2475984.1592845023</v>
          </cell>
        </row>
        <row r="15">
          <cell r="B15">
            <v>17328450.764017839</v>
          </cell>
        </row>
        <row r="16">
          <cell r="B16">
            <v>6403241.2245554477</v>
          </cell>
        </row>
        <row r="17">
          <cell r="B17">
            <v>5840551.5411116136</v>
          </cell>
        </row>
        <row r="18">
          <cell r="B18">
            <v>2891881.8760668058</v>
          </cell>
        </row>
        <row r="19">
          <cell r="B19">
            <v>3673554.2554770755</v>
          </cell>
        </row>
        <row r="20">
          <cell r="B20">
            <v>2670487.9669462265</v>
          </cell>
        </row>
        <row r="21">
          <cell r="B21">
            <v>1947004.0148178223</v>
          </cell>
        </row>
        <row r="22">
          <cell r="B22">
            <v>3894920.6608049241</v>
          </cell>
        </row>
        <row r="23">
          <cell r="B23">
            <v>6676103.0280587766</v>
          </cell>
        </row>
        <row r="24">
          <cell r="B24">
            <v>5586815.8329180544</v>
          </cell>
        </row>
        <row r="25">
          <cell r="B25">
            <v>2943907.2467029095</v>
          </cell>
        </row>
        <row r="26">
          <cell r="B26">
            <v>2290818.1906907125</v>
          </cell>
        </row>
        <row r="27">
          <cell r="B27">
            <v>4828991.2975423485</v>
          </cell>
        </row>
        <row r="28">
          <cell r="B28">
            <v>3267077.1775838826</v>
          </cell>
        </row>
        <row r="29">
          <cell r="B29">
            <v>2312227.5800418104</v>
          </cell>
        </row>
        <row r="30">
          <cell r="B30">
            <v>2819095.1356890188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N143"/>
  <sheetViews>
    <sheetView zoomScaleNormal="100" workbookViewId="0">
      <selection activeCell="E4" sqref="E4:G4"/>
    </sheetView>
  </sheetViews>
  <sheetFormatPr defaultColWidth="8.7109375" defaultRowHeight="15" x14ac:dyDescent="0.25"/>
  <cols>
    <col min="1" max="1" width="2.140625" style="166" customWidth="1"/>
    <col min="2" max="2" width="3.140625" style="166" customWidth="1"/>
    <col min="3" max="3" width="27.140625" style="166" customWidth="1"/>
    <col min="4" max="4" width="48.140625" style="166" customWidth="1"/>
    <col min="5" max="6" width="15" style="166" customWidth="1"/>
    <col min="7" max="7" width="15.42578125" style="166" customWidth="1"/>
    <col min="8" max="16384" width="8.7109375" style="166"/>
  </cols>
  <sheetData>
    <row r="2" spans="2:196" s="161" customFormat="1" ht="15" customHeight="1" x14ac:dyDescent="0.25">
      <c r="D2" s="319"/>
      <c r="E2" s="480" t="s">
        <v>570</v>
      </c>
      <c r="F2" s="480"/>
      <c r="G2" s="480"/>
    </row>
    <row r="3" spans="2:196" s="161" customFormat="1" ht="15.75" x14ac:dyDescent="0.25">
      <c r="D3" s="319"/>
      <c r="E3" s="480" t="s">
        <v>571</v>
      </c>
      <c r="F3" s="480"/>
      <c r="G3" s="480"/>
    </row>
    <row r="4" spans="2:196" s="161" customFormat="1" ht="15.75" x14ac:dyDescent="0.25">
      <c r="D4" s="319"/>
      <c r="E4" s="480" t="s">
        <v>623</v>
      </c>
      <c r="F4" s="480"/>
      <c r="G4" s="480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2:196" s="161" customFormat="1" ht="12.75" x14ac:dyDescent="0.2">
      <c r="D5" s="261"/>
      <c r="E5" s="26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</row>
    <row r="6" spans="2:196" s="161" customFormat="1" ht="12.75" x14ac:dyDescent="0.2">
      <c r="D6" s="261"/>
      <c r="E6" s="261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</row>
    <row r="7" spans="2:196" s="161" customFormat="1" ht="15.75" x14ac:dyDescent="0.25">
      <c r="B7" s="484" t="s">
        <v>584</v>
      </c>
      <c r="C7" s="484"/>
      <c r="D7" s="484"/>
      <c r="E7" s="484"/>
      <c r="F7" s="484"/>
      <c r="G7" s="484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</row>
    <row r="8" spans="2:196" s="161" customFormat="1" ht="15.75" x14ac:dyDescent="0.25">
      <c r="B8" s="484" t="s">
        <v>583</v>
      </c>
      <c r="C8" s="484"/>
      <c r="D8" s="484"/>
      <c r="E8" s="484"/>
      <c r="F8" s="484"/>
      <c r="G8" s="48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</row>
    <row r="9" spans="2:196" s="161" customFormat="1" ht="15.75" x14ac:dyDescent="0.25">
      <c r="B9" s="320"/>
      <c r="C9" s="321"/>
      <c r="D9" s="321"/>
      <c r="E9" s="483" t="s">
        <v>2</v>
      </c>
      <c r="F9" s="483"/>
      <c r="G9" s="483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</row>
    <row r="10" spans="2:196" s="161" customFormat="1" ht="15.75" x14ac:dyDescent="0.25">
      <c r="B10" s="485" t="s">
        <v>3</v>
      </c>
      <c r="C10" s="485" t="s">
        <v>4</v>
      </c>
      <c r="D10" s="486" t="s">
        <v>5</v>
      </c>
      <c r="E10" s="487" t="s">
        <v>6</v>
      </c>
      <c r="F10" s="487"/>
      <c r="G10" s="487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</row>
    <row r="11" spans="2:196" s="161" customFormat="1" ht="15.75" x14ac:dyDescent="0.2">
      <c r="B11" s="485"/>
      <c r="C11" s="485"/>
      <c r="D11" s="486"/>
      <c r="E11" s="322" t="s">
        <v>180</v>
      </c>
      <c r="F11" s="322" t="s">
        <v>220</v>
      </c>
      <c r="G11" s="322" t="s">
        <v>255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</row>
    <row r="12" spans="2:196" s="161" customFormat="1" ht="15.75" x14ac:dyDescent="0.25">
      <c r="B12" s="342">
        <v>1</v>
      </c>
      <c r="C12" s="342" t="s">
        <v>7</v>
      </c>
      <c r="D12" s="324" t="s">
        <v>8</v>
      </c>
      <c r="E12" s="325">
        <v>100600</v>
      </c>
      <c r="F12" s="325">
        <v>98700</v>
      </c>
      <c r="G12" s="325">
        <v>99300</v>
      </c>
      <c r="H12" s="162"/>
      <c r="I12" s="162"/>
      <c r="J12" s="162"/>
      <c r="K12" s="162" t="s">
        <v>0</v>
      </c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</row>
    <row r="13" spans="2:196" s="161" customFormat="1" ht="15.75" x14ac:dyDescent="0.25">
      <c r="B13" s="342">
        <v>2</v>
      </c>
      <c r="C13" s="342" t="s">
        <v>9</v>
      </c>
      <c r="D13" s="324" t="s">
        <v>10</v>
      </c>
      <c r="E13" s="326">
        <v>161</v>
      </c>
      <c r="F13" s="325">
        <v>165</v>
      </c>
      <c r="G13" s="325">
        <v>165</v>
      </c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</row>
    <row r="14" spans="2:196" s="161" customFormat="1" ht="15.75" x14ac:dyDescent="0.25">
      <c r="B14" s="342">
        <v>3</v>
      </c>
      <c r="C14" s="342" t="s">
        <v>11</v>
      </c>
      <c r="D14" s="324" t="s">
        <v>12</v>
      </c>
      <c r="E14" s="326">
        <v>1710</v>
      </c>
      <c r="F14" s="325">
        <v>1650</v>
      </c>
      <c r="G14" s="325">
        <v>1650</v>
      </c>
      <c r="K14" s="161" t="s">
        <v>13</v>
      </c>
    </row>
    <row r="15" spans="2:196" s="161" customFormat="1" ht="15.75" x14ac:dyDescent="0.25">
      <c r="B15" s="342">
        <v>4</v>
      </c>
      <c r="C15" s="342" t="s">
        <v>14</v>
      </c>
      <c r="D15" s="324" t="s">
        <v>15</v>
      </c>
      <c r="E15" s="326">
        <v>26096.6</v>
      </c>
      <c r="F15" s="325">
        <v>28279.9</v>
      </c>
      <c r="G15" s="325">
        <v>28721.5</v>
      </c>
    </row>
    <row r="16" spans="2:196" s="161" customFormat="1" ht="15.75" x14ac:dyDescent="0.25">
      <c r="B16" s="342">
        <v>5</v>
      </c>
      <c r="C16" s="342" t="s">
        <v>16</v>
      </c>
      <c r="D16" s="324" t="s">
        <v>17</v>
      </c>
      <c r="E16" s="326">
        <v>14350</v>
      </c>
      <c r="F16" s="325">
        <v>13608</v>
      </c>
      <c r="G16" s="325">
        <v>13608</v>
      </c>
    </row>
    <row r="17" spans="2:9" s="161" customFormat="1" ht="31.5" x14ac:dyDescent="0.25">
      <c r="B17" s="342">
        <v>6</v>
      </c>
      <c r="C17" s="342" t="s">
        <v>256</v>
      </c>
      <c r="D17" s="324" t="s">
        <v>257</v>
      </c>
      <c r="E17" s="326">
        <v>50</v>
      </c>
      <c r="F17" s="325">
        <v>50</v>
      </c>
      <c r="G17" s="325">
        <v>50</v>
      </c>
    </row>
    <row r="18" spans="2:9" s="161" customFormat="1" ht="15.75" x14ac:dyDescent="0.25">
      <c r="B18" s="342"/>
      <c r="C18" s="342"/>
      <c r="D18" s="327" t="s">
        <v>18</v>
      </c>
      <c r="E18" s="328">
        <f>SUM(E19:E24)</f>
        <v>3376.5</v>
      </c>
      <c r="F18" s="328">
        <f>SUM(F19:F23)</f>
        <v>4876.5</v>
      </c>
      <c r="G18" s="328">
        <f>SUM(G19:G23)</f>
        <v>4876.5</v>
      </c>
      <c r="I18" s="161" t="s">
        <v>0</v>
      </c>
    </row>
    <row r="19" spans="2:9" s="161" customFormat="1" ht="47.25" x14ac:dyDescent="0.25">
      <c r="B19" s="342">
        <v>7</v>
      </c>
      <c r="C19" s="342" t="s">
        <v>19</v>
      </c>
      <c r="D19" s="324" t="s">
        <v>258</v>
      </c>
      <c r="E19" s="325">
        <v>100</v>
      </c>
      <c r="F19" s="325">
        <v>100</v>
      </c>
      <c r="G19" s="325">
        <v>100</v>
      </c>
    </row>
    <row r="20" spans="2:9" s="161" customFormat="1" ht="78.75" x14ac:dyDescent="0.25">
      <c r="B20" s="342">
        <v>8</v>
      </c>
      <c r="C20" s="342" t="s">
        <v>259</v>
      </c>
      <c r="D20" s="324" t="s">
        <v>260</v>
      </c>
      <c r="E20" s="325">
        <v>350</v>
      </c>
      <c r="F20" s="325">
        <v>350</v>
      </c>
      <c r="G20" s="325">
        <v>350</v>
      </c>
    </row>
    <row r="21" spans="2:9" s="161" customFormat="1" ht="31.5" x14ac:dyDescent="0.25">
      <c r="B21" s="342">
        <v>9</v>
      </c>
      <c r="C21" s="342" t="s">
        <v>20</v>
      </c>
      <c r="D21" s="324" t="s">
        <v>21</v>
      </c>
      <c r="E21" s="325">
        <v>2900</v>
      </c>
      <c r="F21" s="325">
        <v>4400</v>
      </c>
      <c r="G21" s="325">
        <v>4400</v>
      </c>
    </row>
    <row r="22" spans="2:9" s="161" customFormat="1" ht="31.5" x14ac:dyDescent="0.25">
      <c r="B22" s="342">
        <v>10</v>
      </c>
      <c r="C22" s="342" t="s">
        <v>22</v>
      </c>
      <c r="D22" s="324" t="s">
        <v>23</v>
      </c>
      <c r="E22" s="325">
        <v>25</v>
      </c>
      <c r="F22" s="325">
        <v>25</v>
      </c>
      <c r="G22" s="325">
        <v>25</v>
      </c>
    </row>
    <row r="23" spans="2:9" s="161" customFormat="1" ht="31.5" x14ac:dyDescent="0.25">
      <c r="B23" s="342">
        <v>11</v>
      </c>
      <c r="C23" s="342" t="s">
        <v>22</v>
      </c>
      <c r="D23" s="324" t="s">
        <v>573</v>
      </c>
      <c r="E23" s="325">
        <v>1.5</v>
      </c>
      <c r="F23" s="325">
        <v>1.5</v>
      </c>
      <c r="G23" s="325">
        <v>1.5</v>
      </c>
    </row>
    <row r="24" spans="2:9" s="161" customFormat="1" ht="15.75" x14ac:dyDescent="0.25">
      <c r="B24" s="342"/>
      <c r="C24" s="342"/>
      <c r="D24" s="324"/>
      <c r="E24" s="325"/>
      <c r="F24" s="325"/>
      <c r="G24" s="325"/>
    </row>
    <row r="25" spans="2:9" s="161" customFormat="1" ht="15.75" x14ac:dyDescent="0.25">
      <c r="B25" s="342"/>
      <c r="C25" s="342"/>
      <c r="D25" s="344" t="s">
        <v>24</v>
      </c>
      <c r="E25" s="329">
        <f>SUM(E12:E18)</f>
        <v>146344.1</v>
      </c>
      <c r="F25" s="329">
        <f>SUM(F12:F18)</f>
        <v>147329.4</v>
      </c>
      <c r="G25" s="329">
        <f>SUM(G12:G18)</f>
        <v>148371</v>
      </c>
    </row>
    <row r="26" spans="2:9" s="161" customFormat="1" ht="15.75" x14ac:dyDescent="0.25">
      <c r="B26" s="342"/>
      <c r="C26" s="342"/>
      <c r="D26" s="344" t="s">
        <v>181</v>
      </c>
      <c r="E26" s="329">
        <f>SUM(E28:E31)</f>
        <v>241144</v>
      </c>
      <c r="F26" s="328">
        <f>SUM(F28:F31)</f>
        <v>185985</v>
      </c>
      <c r="G26" s="328">
        <f>SUM(G28:G31)</f>
        <v>185985</v>
      </c>
    </row>
    <row r="27" spans="2:9" s="161" customFormat="1" ht="15.75" x14ac:dyDescent="0.25">
      <c r="B27" s="342"/>
      <c r="C27" s="342"/>
      <c r="D27" s="345" t="s">
        <v>27</v>
      </c>
      <c r="E27" s="328"/>
      <c r="F27" s="325"/>
      <c r="G27" s="325"/>
    </row>
    <row r="28" spans="2:9" s="161" customFormat="1" ht="31.5" x14ac:dyDescent="0.25">
      <c r="B28" s="342">
        <v>12</v>
      </c>
      <c r="C28" s="342" t="s">
        <v>221</v>
      </c>
      <c r="D28" s="330" t="s">
        <v>25</v>
      </c>
      <c r="E28" s="329">
        <v>241144</v>
      </c>
      <c r="F28" s="329">
        <v>185985</v>
      </c>
      <c r="G28" s="329">
        <v>185985</v>
      </c>
    </row>
    <row r="29" spans="2:9" s="161" customFormat="1" ht="110.25" x14ac:dyDescent="0.25">
      <c r="B29" s="342"/>
      <c r="C29" s="342"/>
      <c r="D29" s="331" t="s">
        <v>572</v>
      </c>
      <c r="E29" s="329"/>
      <c r="F29" s="329"/>
      <c r="G29" s="329"/>
    </row>
    <row r="30" spans="2:9" s="161" customFormat="1" ht="15.75" x14ac:dyDescent="0.25">
      <c r="B30" s="342"/>
      <c r="C30" s="342"/>
      <c r="D30" s="332"/>
      <c r="E30" s="329"/>
      <c r="F30" s="325"/>
      <c r="G30" s="325"/>
    </row>
    <row r="31" spans="2:9" s="161" customFormat="1" ht="15.75" x14ac:dyDescent="0.25">
      <c r="B31" s="342"/>
      <c r="C31" s="342"/>
      <c r="D31" s="333"/>
      <c r="E31" s="334"/>
      <c r="F31" s="325"/>
      <c r="G31" s="325"/>
    </row>
    <row r="32" spans="2:9" s="161" customFormat="1" ht="15.75" x14ac:dyDescent="0.25">
      <c r="B32" s="342"/>
      <c r="C32" s="342"/>
      <c r="D32" s="344" t="s">
        <v>26</v>
      </c>
      <c r="E32" s="329">
        <f>SUM(E34:E36)</f>
        <v>39586.527999999998</v>
      </c>
      <c r="F32" s="329">
        <f>SUM(F34:F36)</f>
        <v>39586.527999999998</v>
      </c>
      <c r="G32" s="329">
        <f>G34+G35+G36</f>
        <v>38601.938000000002</v>
      </c>
    </row>
    <row r="33" spans="2:9" s="161" customFormat="1" ht="15.75" x14ac:dyDescent="0.25">
      <c r="B33" s="342"/>
      <c r="C33" s="342"/>
      <c r="D33" s="345" t="s">
        <v>27</v>
      </c>
      <c r="E33" s="326"/>
      <c r="F33" s="325"/>
      <c r="G33" s="325"/>
      <c r="I33" s="161" t="s">
        <v>0</v>
      </c>
    </row>
    <row r="34" spans="2:9" s="161" customFormat="1" ht="31.5" x14ac:dyDescent="0.25">
      <c r="B34" s="342">
        <v>13</v>
      </c>
      <c r="C34" s="342" t="s">
        <v>223</v>
      </c>
      <c r="D34" s="335" t="s">
        <v>182</v>
      </c>
      <c r="E34" s="336">
        <v>8087.4160000000002</v>
      </c>
      <c r="F34" s="336">
        <v>8087.4160000000002</v>
      </c>
      <c r="G34" s="336">
        <v>8895.06</v>
      </c>
    </row>
    <row r="35" spans="2:9" s="161" customFormat="1" ht="31.5" x14ac:dyDescent="0.25">
      <c r="B35" s="342">
        <v>14</v>
      </c>
      <c r="C35" s="342" t="s">
        <v>222</v>
      </c>
      <c r="D35" s="337" t="s">
        <v>183</v>
      </c>
      <c r="E35" s="336">
        <v>29706.878000000001</v>
      </c>
      <c r="F35" s="338">
        <v>29706.878000000001</v>
      </c>
      <c r="G35" s="339">
        <v>29706.878000000001</v>
      </c>
    </row>
    <row r="36" spans="2:9" s="161" customFormat="1" ht="94.5" x14ac:dyDescent="0.25">
      <c r="B36" s="342">
        <v>15</v>
      </c>
      <c r="C36" s="342" t="s">
        <v>222</v>
      </c>
      <c r="D36" s="343" t="s">
        <v>232</v>
      </c>
      <c r="E36" s="336">
        <v>1792.2339999999999</v>
      </c>
      <c r="F36" s="338">
        <v>1792.2339999999999</v>
      </c>
      <c r="G36" s="339">
        <v>0</v>
      </c>
    </row>
    <row r="37" spans="2:9" s="161" customFormat="1" ht="15.75" x14ac:dyDescent="0.25">
      <c r="B37" s="342"/>
      <c r="C37" s="342"/>
      <c r="D37" s="344" t="s">
        <v>29</v>
      </c>
      <c r="E37" s="340">
        <f>SUM(E39:E54)</f>
        <v>762630.07799999998</v>
      </c>
      <c r="F37" s="340">
        <f>SUM(F39:F54)</f>
        <v>742449.52800000005</v>
      </c>
      <c r="G37" s="340">
        <f>SUM(G39:G54)</f>
        <v>745396.42800000007</v>
      </c>
    </row>
    <row r="38" spans="2:9" s="161" customFormat="1" ht="20.25" customHeight="1" x14ac:dyDescent="0.25">
      <c r="B38" s="342"/>
      <c r="C38" s="342"/>
      <c r="D38" s="345" t="s">
        <v>27</v>
      </c>
      <c r="E38" s="326"/>
      <c r="F38" s="325"/>
      <c r="G38" s="325"/>
    </row>
    <row r="39" spans="2:9" s="161" customFormat="1" ht="15.75" x14ac:dyDescent="0.25">
      <c r="B39" s="342">
        <v>16</v>
      </c>
      <c r="C39" s="342" t="s">
        <v>224</v>
      </c>
      <c r="D39" s="330" t="s">
        <v>574</v>
      </c>
      <c r="E39" s="336">
        <v>494213</v>
      </c>
      <c r="F39" s="336">
        <v>494213</v>
      </c>
      <c r="G39" s="336">
        <v>494213</v>
      </c>
    </row>
    <row r="40" spans="2:9" s="161" customFormat="1" ht="15.75" x14ac:dyDescent="0.25">
      <c r="B40" s="342">
        <v>17</v>
      </c>
      <c r="C40" s="342" t="s">
        <v>224</v>
      </c>
      <c r="D40" s="330" t="s">
        <v>575</v>
      </c>
      <c r="E40" s="336">
        <v>121170</v>
      </c>
      <c r="F40" s="336">
        <v>121170</v>
      </c>
      <c r="G40" s="336">
        <v>121170</v>
      </c>
    </row>
    <row r="41" spans="2:9" s="161" customFormat="1" ht="31.5" x14ac:dyDescent="0.25">
      <c r="B41" s="342">
        <v>18</v>
      </c>
      <c r="C41" s="342" t="s">
        <v>225</v>
      </c>
      <c r="D41" s="330" t="s">
        <v>576</v>
      </c>
      <c r="E41" s="336">
        <v>2317</v>
      </c>
      <c r="F41" s="336">
        <v>2410</v>
      </c>
      <c r="G41" s="336">
        <v>2506</v>
      </c>
      <c r="H41" s="161" t="s">
        <v>0</v>
      </c>
    </row>
    <row r="42" spans="2:9" s="161" customFormat="1" ht="31.5" x14ac:dyDescent="0.25">
      <c r="B42" s="342">
        <v>19</v>
      </c>
      <c r="C42" s="342" t="s">
        <v>226</v>
      </c>
      <c r="D42" s="330" t="s">
        <v>577</v>
      </c>
      <c r="E42" s="336">
        <v>1350</v>
      </c>
      <c r="F42" s="336">
        <v>1350</v>
      </c>
      <c r="G42" s="336">
        <v>1350</v>
      </c>
    </row>
    <row r="43" spans="2:9" s="161" customFormat="1" ht="63" x14ac:dyDescent="0.25">
      <c r="B43" s="342">
        <v>20</v>
      </c>
      <c r="C43" s="342" t="s">
        <v>227</v>
      </c>
      <c r="D43" s="196" t="s">
        <v>30</v>
      </c>
      <c r="E43" s="336">
        <v>1505.4</v>
      </c>
      <c r="F43" s="336">
        <v>1505.4</v>
      </c>
      <c r="G43" s="336">
        <v>1505.4</v>
      </c>
    </row>
    <row r="44" spans="2:9" s="161" customFormat="1" ht="47.25" x14ac:dyDescent="0.25">
      <c r="B44" s="342">
        <v>21</v>
      </c>
      <c r="C44" s="342" t="s">
        <v>228</v>
      </c>
      <c r="D44" s="196" t="s">
        <v>31</v>
      </c>
      <c r="E44" s="336">
        <v>0</v>
      </c>
      <c r="F44" s="336">
        <v>0</v>
      </c>
      <c r="G44" s="336">
        <v>0</v>
      </c>
    </row>
    <row r="45" spans="2:9" s="161" customFormat="1" ht="15.75" x14ac:dyDescent="0.25">
      <c r="B45" s="342"/>
      <c r="C45" s="342"/>
      <c r="D45" s="196"/>
      <c r="E45" s="336"/>
      <c r="F45" s="336"/>
      <c r="G45" s="336"/>
    </row>
    <row r="46" spans="2:9" s="161" customFormat="1" ht="63" x14ac:dyDescent="0.25">
      <c r="B46" s="342">
        <v>22</v>
      </c>
      <c r="C46" s="342" t="s">
        <v>224</v>
      </c>
      <c r="D46" s="196" t="s">
        <v>184</v>
      </c>
      <c r="E46" s="336">
        <v>58.4</v>
      </c>
      <c r="F46" s="338">
        <v>58.4</v>
      </c>
      <c r="G46" s="338">
        <v>58.4</v>
      </c>
    </row>
    <row r="47" spans="2:9" s="161" customFormat="1" ht="63" x14ac:dyDescent="0.25">
      <c r="B47" s="342">
        <v>23</v>
      </c>
      <c r="C47" s="342" t="s">
        <v>233</v>
      </c>
      <c r="D47" s="196" t="s">
        <v>234</v>
      </c>
      <c r="E47" s="336">
        <v>35688.078000000001</v>
      </c>
      <c r="F47" s="336">
        <v>35688.078000000001</v>
      </c>
      <c r="G47" s="336">
        <v>38382.277999999998</v>
      </c>
    </row>
    <row r="48" spans="2:9" s="161" customFormat="1" ht="78.75" x14ac:dyDescent="0.25">
      <c r="B48" s="342">
        <v>24</v>
      </c>
      <c r="C48" s="342" t="s">
        <v>229</v>
      </c>
      <c r="D48" s="196" t="s">
        <v>32</v>
      </c>
      <c r="E48" s="336">
        <v>101126</v>
      </c>
      <c r="F48" s="338">
        <v>80901</v>
      </c>
      <c r="G48" s="338">
        <v>80901</v>
      </c>
    </row>
    <row r="49" spans="2:7" s="161" customFormat="1" ht="31.5" x14ac:dyDescent="0.25">
      <c r="B49" s="342">
        <v>25</v>
      </c>
      <c r="C49" s="342" t="s">
        <v>261</v>
      </c>
      <c r="D49" s="196" t="s">
        <v>262</v>
      </c>
      <c r="E49" s="336">
        <v>170</v>
      </c>
      <c r="F49" s="338">
        <v>0</v>
      </c>
      <c r="G49" s="338">
        <v>0</v>
      </c>
    </row>
    <row r="50" spans="2:7" s="161" customFormat="1" ht="47.25" x14ac:dyDescent="0.25">
      <c r="B50" s="342">
        <v>26</v>
      </c>
      <c r="C50" s="342" t="s">
        <v>230</v>
      </c>
      <c r="D50" s="196" t="s">
        <v>185</v>
      </c>
      <c r="E50" s="336">
        <v>3109</v>
      </c>
      <c r="F50" s="336">
        <v>3220</v>
      </c>
      <c r="G50" s="336">
        <v>3325</v>
      </c>
    </row>
    <row r="51" spans="2:7" s="161" customFormat="1" ht="47.25" x14ac:dyDescent="0.25">
      <c r="B51" s="342">
        <v>27</v>
      </c>
      <c r="C51" s="342" t="s">
        <v>224</v>
      </c>
      <c r="D51" s="196" t="s">
        <v>186</v>
      </c>
      <c r="E51" s="336">
        <v>372</v>
      </c>
      <c r="F51" s="336">
        <v>387</v>
      </c>
      <c r="G51" s="336">
        <v>397</v>
      </c>
    </row>
    <row r="52" spans="2:7" s="161" customFormat="1" ht="47.25" x14ac:dyDescent="0.25">
      <c r="B52" s="342">
        <v>28</v>
      </c>
      <c r="C52" s="342" t="s">
        <v>224</v>
      </c>
      <c r="D52" s="196" t="s">
        <v>187</v>
      </c>
      <c r="E52" s="336">
        <v>746</v>
      </c>
      <c r="F52" s="336">
        <v>772</v>
      </c>
      <c r="G52" s="336">
        <v>793</v>
      </c>
    </row>
    <row r="53" spans="2:7" s="161" customFormat="1" ht="63" x14ac:dyDescent="0.25">
      <c r="B53" s="342">
        <v>29</v>
      </c>
      <c r="C53" s="342" t="s">
        <v>229</v>
      </c>
      <c r="D53" s="196" t="s">
        <v>188</v>
      </c>
      <c r="E53" s="346">
        <v>744</v>
      </c>
      <c r="F53" s="346">
        <v>772</v>
      </c>
      <c r="G53" s="346">
        <v>793</v>
      </c>
    </row>
    <row r="54" spans="2:7" s="161" customFormat="1" ht="63" x14ac:dyDescent="0.25">
      <c r="B54" s="342">
        <v>30</v>
      </c>
      <c r="C54" s="342" t="s">
        <v>227</v>
      </c>
      <c r="D54" s="196" t="s">
        <v>189</v>
      </c>
      <c r="E54" s="346">
        <v>61.2</v>
      </c>
      <c r="F54" s="347">
        <v>2.65</v>
      </c>
      <c r="G54" s="339">
        <v>2.35</v>
      </c>
    </row>
    <row r="55" spans="2:7" s="161" customFormat="1" ht="15.75" x14ac:dyDescent="0.25">
      <c r="B55" s="323"/>
      <c r="C55" s="323"/>
      <c r="D55" s="341" t="s">
        <v>33</v>
      </c>
      <c r="E55" s="340">
        <f>E56</f>
        <v>0</v>
      </c>
      <c r="F55" s="340">
        <f>F56</f>
        <v>0</v>
      </c>
      <c r="G55" s="340">
        <f>G56</f>
        <v>0</v>
      </c>
    </row>
    <row r="56" spans="2:7" s="161" customFormat="1" ht="15.75" x14ac:dyDescent="0.25">
      <c r="B56" s="323"/>
      <c r="C56" s="323"/>
      <c r="D56" s="196"/>
      <c r="E56" s="326"/>
      <c r="F56" s="325"/>
      <c r="G56" s="325"/>
    </row>
    <row r="57" spans="2:7" s="161" customFormat="1" ht="15.75" x14ac:dyDescent="0.25">
      <c r="B57" s="323"/>
      <c r="C57" s="481" t="s">
        <v>34</v>
      </c>
      <c r="D57" s="482"/>
      <c r="E57" s="329">
        <f>SUM(E25,E26,E32,E37,E55)</f>
        <v>1189704.706</v>
      </c>
      <c r="F57" s="329">
        <f>SUM(F25,F26,F32,F37,F55)</f>
        <v>1115350.456</v>
      </c>
      <c r="G57" s="329">
        <f>SUM(G25,G26,G32,G37,G55)</f>
        <v>1118354.3660000002</v>
      </c>
    </row>
    <row r="58" spans="2:7" s="161" customFormat="1" ht="12.75" x14ac:dyDescent="0.2"/>
    <row r="59" spans="2:7" s="161" customFormat="1" ht="12.75" x14ac:dyDescent="0.2"/>
    <row r="60" spans="2:7" s="161" customFormat="1" ht="12.75" x14ac:dyDescent="0.2">
      <c r="E60" s="224">
        <f>E57-'[1]ВСРБМР 5'!G222/1000</f>
        <v>3830.6000000000931</v>
      </c>
      <c r="F60" s="225">
        <f>'[1]Аппарат свод'!CU46/1000</f>
        <v>0</v>
      </c>
      <c r="G60" s="226" t="s">
        <v>263</v>
      </c>
    </row>
    <row r="61" spans="2:7" s="161" customFormat="1" ht="12.75" x14ac:dyDescent="0.2">
      <c r="E61" s="227">
        <f>E37-'[1]межбюд тран.№3'!B20</f>
        <v>0</v>
      </c>
    </row>
    <row r="62" spans="2:7" s="161" customFormat="1" ht="12.75" x14ac:dyDescent="0.2">
      <c r="E62" s="228">
        <f>E57-E32-E26-E25-'[1]межбюд тран.№3'!B20</f>
        <v>0</v>
      </c>
    </row>
    <row r="63" spans="2:7" s="161" customFormat="1" ht="12.75" x14ac:dyDescent="0.2"/>
    <row r="64" spans="2:7" s="161" customFormat="1" ht="12.75" x14ac:dyDescent="0.2"/>
    <row r="65" s="161" customFormat="1" ht="12.75" x14ac:dyDescent="0.2"/>
    <row r="66" s="161" customFormat="1" ht="12.75" x14ac:dyDescent="0.2"/>
    <row r="67" s="161" customFormat="1" ht="12.75" x14ac:dyDescent="0.2"/>
    <row r="68" s="161" customFormat="1" ht="12.75" x14ac:dyDescent="0.2"/>
    <row r="69" s="161" customFormat="1" ht="12.75" x14ac:dyDescent="0.2"/>
    <row r="70" s="161" customFormat="1" ht="12.75" x14ac:dyDescent="0.2"/>
    <row r="71" s="161" customFormat="1" ht="12.75" x14ac:dyDescent="0.2"/>
    <row r="72" s="161" customFormat="1" ht="12.75" x14ac:dyDescent="0.2"/>
    <row r="73" s="161" customFormat="1" ht="12.75" x14ac:dyDescent="0.2"/>
    <row r="74" s="161" customFormat="1" ht="12.75" x14ac:dyDescent="0.2"/>
    <row r="75" s="161" customFormat="1" ht="12.75" x14ac:dyDescent="0.2"/>
    <row r="76" s="161" customFormat="1" ht="12.75" x14ac:dyDescent="0.2"/>
    <row r="77" s="161" customFormat="1" ht="12.75" x14ac:dyDescent="0.2"/>
    <row r="78" s="161" customFormat="1" ht="12.75" x14ac:dyDescent="0.2"/>
    <row r="79" s="161" customFormat="1" ht="12.75" x14ac:dyDescent="0.2"/>
    <row r="80" s="161" customFormat="1" ht="12.75" x14ac:dyDescent="0.2"/>
    <row r="81" s="161" customFormat="1" ht="12.75" x14ac:dyDescent="0.2"/>
    <row r="82" s="161" customFormat="1" ht="12.75" x14ac:dyDescent="0.2"/>
    <row r="83" s="161" customFormat="1" ht="12.75" x14ac:dyDescent="0.2"/>
    <row r="84" s="161" customFormat="1" ht="12.75" x14ac:dyDescent="0.2"/>
    <row r="85" s="161" customFormat="1" ht="12.75" x14ac:dyDescent="0.2"/>
    <row r="86" s="161" customFormat="1" ht="12.75" x14ac:dyDescent="0.2"/>
    <row r="87" s="161" customFormat="1" ht="12.75" x14ac:dyDescent="0.2"/>
    <row r="88" s="161" customFormat="1" ht="12.75" x14ac:dyDescent="0.2"/>
    <row r="89" s="161" customFormat="1" ht="12.75" x14ac:dyDescent="0.2"/>
    <row r="90" s="161" customFormat="1" ht="12.75" x14ac:dyDescent="0.2"/>
    <row r="91" s="161" customFormat="1" ht="12.75" x14ac:dyDescent="0.2"/>
    <row r="92" s="161" customFormat="1" ht="12.75" x14ac:dyDescent="0.2"/>
    <row r="93" s="161" customFormat="1" ht="12.75" x14ac:dyDescent="0.2"/>
    <row r="94" s="161" customFormat="1" ht="12.75" x14ac:dyDescent="0.2"/>
    <row r="95" s="161" customFormat="1" ht="12.75" x14ac:dyDescent="0.2"/>
    <row r="96" s="161" customFormat="1" ht="12.75" x14ac:dyDescent="0.2"/>
    <row r="97" s="161" customFormat="1" ht="12.75" x14ac:dyDescent="0.2"/>
    <row r="98" s="161" customFormat="1" ht="12.75" x14ac:dyDescent="0.2"/>
    <row r="99" s="161" customFormat="1" ht="12.75" x14ac:dyDescent="0.2"/>
    <row r="100" s="161" customFormat="1" ht="12.75" x14ac:dyDescent="0.2"/>
    <row r="101" s="161" customFormat="1" ht="12.75" x14ac:dyDescent="0.2"/>
    <row r="102" s="161" customFormat="1" ht="12.75" x14ac:dyDescent="0.2"/>
    <row r="103" s="161" customFormat="1" ht="12.75" x14ac:dyDescent="0.2"/>
    <row r="104" s="161" customFormat="1" ht="12.75" x14ac:dyDescent="0.2"/>
    <row r="105" s="161" customFormat="1" ht="12.75" x14ac:dyDescent="0.2"/>
    <row r="106" s="161" customFormat="1" ht="12.75" x14ac:dyDescent="0.2"/>
    <row r="107" s="161" customFormat="1" ht="12.75" x14ac:dyDescent="0.2"/>
    <row r="108" s="161" customFormat="1" ht="12.75" x14ac:dyDescent="0.2"/>
    <row r="109" s="161" customFormat="1" ht="12.75" x14ac:dyDescent="0.2"/>
    <row r="110" s="161" customFormat="1" ht="12.75" x14ac:dyDescent="0.2"/>
    <row r="111" s="161" customFormat="1" ht="12.75" x14ac:dyDescent="0.2"/>
    <row r="112" s="161" customFormat="1" ht="12.75" x14ac:dyDescent="0.2"/>
    <row r="113" s="161" customFormat="1" ht="12.75" x14ac:dyDescent="0.2"/>
    <row r="114" s="161" customFormat="1" ht="12.75" x14ac:dyDescent="0.2"/>
    <row r="115" s="161" customFormat="1" ht="12.75" x14ac:dyDescent="0.2"/>
    <row r="116" s="161" customFormat="1" ht="12.75" x14ac:dyDescent="0.2"/>
    <row r="117" s="161" customFormat="1" ht="12.75" x14ac:dyDescent="0.2"/>
    <row r="118" s="161" customFormat="1" ht="12.75" x14ac:dyDescent="0.2"/>
    <row r="119" s="161" customFormat="1" ht="12.75" x14ac:dyDescent="0.2"/>
    <row r="120" s="161" customFormat="1" ht="12.75" x14ac:dyDescent="0.2"/>
    <row r="121" s="161" customFormat="1" ht="12.75" x14ac:dyDescent="0.2"/>
    <row r="122" s="161" customFormat="1" ht="12.75" x14ac:dyDescent="0.2"/>
    <row r="123" s="161" customFormat="1" ht="12.75" x14ac:dyDescent="0.2"/>
    <row r="124" s="161" customFormat="1" ht="12.75" x14ac:dyDescent="0.2"/>
    <row r="125" s="161" customFormat="1" ht="12.75" x14ac:dyDescent="0.2"/>
    <row r="126" s="161" customFormat="1" ht="12.75" x14ac:dyDescent="0.2"/>
    <row r="127" s="161" customFormat="1" ht="12.75" x14ac:dyDescent="0.2"/>
    <row r="128" s="161" customFormat="1" ht="12.75" x14ac:dyDescent="0.2"/>
    <row r="129" s="161" customFormat="1" ht="12.75" x14ac:dyDescent="0.2"/>
    <row r="130" s="161" customFormat="1" ht="12.75" x14ac:dyDescent="0.2"/>
    <row r="131" s="161" customFormat="1" ht="12.75" x14ac:dyDescent="0.2"/>
    <row r="132" s="161" customFormat="1" ht="12.75" x14ac:dyDescent="0.2"/>
    <row r="133" s="161" customFormat="1" ht="12.75" x14ac:dyDescent="0.2"/>
    <row r="134" s="161" customFormat="1" ht="12.75" x14ac:dyDescent="0.2"/>
    <row r="135" s="161" customFormat="1" ht="12.75" x14ac:dyDescent="0.2"/>
    <row r="136" s="161" customFormat="1" ht="12.75" x14ac:dyDescent="0.2"/>
    <row r="137" s="161" customFormat="1" ht="12.75" x14ac:dyDescent="0.2"/>
    <row r="138" s="161" customFormat="1" ht="12.75" x14ac:dyDescent="0.2"/>
    <row r="139" s="161" customFormat="1" ht="12.75" x14ac:dyDescent="0.2"/>
    <row r="140" s="161" customFormat="1" ht="12.75" x14ac:dyDescent="0.2"/>
    <row r="141" s="161" customFormat="1" ht="12.75" x14ac:dyDescent="0.2"/>
    <row r="142" s="161" customFormat="1" ht="12.75" x14ac:dyDescent="0.2"/>
    <row r="143" s="161" customFormat="1" ht="12.75" x14ac:dyDescent="0.2"/>
  </sheetData>
  <mergeCells count="11">
    <mergeCell ref="E2:G2"/>
    <mergeCell ref="E3:G3"/>
    <mergeCell ref="E4:G4"/>
    <mergeCell ref="C57:D57"/>
    <mergeCell ref="E9:G9"/>
    <mergeCell ref="B7:G7"/>
    <mergeCell ref="B10:B11"/>
    <mergeCell ref="C10:C11"/>
    <mergeCell ref="D10:D11"/>
    <mergeCell ref="E10:G10"/>
    <mergeCell ref="B8:G8"/>
  </mergeCells>
  <pageMargins left="0.70866141732283472" right="0.70866141732283472" top="0.74803149606299213" bottom="0.74803149606299213" header="0.31496062992125984" footer="0.31496062992125984"/>
  <pageSetup paperSize="9" scale="69" fitToHeight="4" orientation="portrait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9"/>
  <sheetViews>
    <sheetView view="pageBreakPreview" zoomScale="130" zoomScaleNormal="100" zoomScaleSheetLayoutView="130" workbookViewId="0">
      <selection activeCell="C3" sqref="C3:E3"/>
    </sheetView>
  </sheetViews>
  <sheetFormatPr defaultColWidth="11.28515625" defaultRowHeight="15" x14ac:dyDescent="0.25"/>
  <cols>
    <col min="1" max="1" width="12.42578125" customWidth="1"/>
    <col min="2" max="2" width="21.42578125" customWidth="1"/>
  </cols>
  <sheetData>
    <row r="1" spans="1:213" s="2" customFormat="1" ht="12.75" x14ac:dyDescent="0.2">
      <c r="A1" s="260"/>
      <c r="B1" s="260"/>
      <c r="C1" s="557" t="s">
        <v>601</v>
      </c>
      <c r="D1" s="557"/>
      <c r="E1" s="557"/>
      <c r="F1" s="66"/>
      <c r="G1" s="66"/>
    </row>
    <row r="2" spans="1:213" s="2" customFormat="1" ht="12.75" x14ac:dyDescent="0.2">
      <c r="A2" s="438"/>
      <c r="B2" s="438"/>
      <c r="C2" s="557" t="s">
        <v>571</v>
      </c>
      <c r="D2" s="557"/>
      <c r="E2" s="557"/>
      <c r="F2" s="66"/>
      <c r="G2" s="66"/>
    </row>
    <row r="3" spans="1:213" s="2" customFormat="1" ht="12.75" x14ac:dyDescent="0.2">
      <c r="A3" s="438"/>
      <c r="B3" s="438"/>
      <c r="C3" s="557" t="s">
        <v>625</v>
      </c>
      <c r="D3" s="557"/>
      <c r="E3" s="557"/>
      <c r="F3" s="66"/>
      <c r="G3" s="66"/>
    </row>
    <row r="4" spans="1:213" x14ac:dyDescent="0.25">
      <c r="A4" s="439"/>
      <c r="B4" s="439"/>
      <c r="C4" s="315"/>
      <c r="D4" s="439"/>
      <c r="E4" s="439"/>
    </row>
    <row r="5" spans="1:213" s="2" customFormat="1" ht="50.1" customHeight="1" x14ac:dyDescent="0.2">
      <c r="A5" s="559" t="s">
        <v>600</v>
      </c>
      <c r="B5" s="559"/>
      <c r="C5" s="559"/>
      <c r="D5" s="559"/>
      <c r="E5" s="559"/>
    </row>
    <row r="6" spans="1:213" s="2" customFormat="1" ht="20.100000000000001" customHeight="1" x14ac:dyDescent="0.2">
      <c r="A6" s="560" t="s">
        <v>104</v>
      </c>
      <c r="B6" s="560" t="s">
        <v>193</v>
      </c>
      <c r="C6" s="542" t="s">
        <v>6</v>
      </c>
      <c r="D6" s="542"/>
      <c r="E6" s="542"/>
      <c r="F6" s="558" t="s">
        <v>299</v>
      </c>
      <c r="G6" s="558" t="s">
        <v>300</v>
      </c>
    </row>
    <row r="7" spans="1:213" s="2" customFormat="1" ht="25.5" customHeight="1" x14ac:dyDescent="0.2">
      <c r="A7" s="560"/>
      <c r="B7" s="560"/>
      <c r="C7" s="542"/>
      <c r="D7" s="542"/>
      <c r="E7" s="542"/>
      <c r="F7" s="558"/>
      <c r="G7" s="558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</row>
    <row r="8" spans="1:213" s="2" customFormat="1" ht="24" customHeight="1" x14ac:dyDescent="0.2">
      <c r="A8" s="560"/>
      <c r="B8" s="560"/>
      <c r="C8" s="542"/>
      <c r="D8" s="542"/>
      <c r="E8" s="542"/>
      <c r="F8" s="558"/>
      <c r="G8" s="55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</row>
    <row r="9" spans="1:213" ht="22.7" customHeight="1" x14ac:dyDescent="0.25">
      <c r="A9" s="560"/>
      <c r="B9" s="560"/>
      <c r="C9" s="542"/>
      <c r="D9" s="542"/>
      <c r="E9" s="542"/>
      <c r="F9" s="558"/>
      <c r="G9" s="55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</row>
    <row r="10" spans="1:213" s="3" customFormat="1" ht="16.350000000000001" customHeight="1" x14ac:dyDescent="0.2">
      <c r="A10" s="560"/>
      <c r="B10" s="560"/>
      <c r="C10" s="440" t="s">
        <v>180</v>
      </c>
      <c r="D10" s="440" t="s">
        <v>220</v>
      </c>
      <c r="E10" s="440" t="s">
        <v>255</v>
      </c>
      <c r="F10" s="10"/>
      <c r="G10" s="1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ht="8.65" customHeight="1" x14ac:dyDescent="0.25">
      <c r="A11" s="441" t="s">
        <v>48</v>
      </c>
      <c r="B11" s="441" t="s">
        <v>36</v>
      </c>
      <c r="C11" s="441" t="s">
        <v>49</v>
      </c>
      <c r="D11" s="441" t="s">
        <v>50</v>
      </c>
      <c r="E11" s="441" t="s">
        <v>106</v>
      </c>
      <c r="F11" s="190"/>
      <c r="G11" s="19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</row>
    <row r="12" spans="1:213" x14ac:dyDescent="0.25">
      <c r="A12" s="443" t="s">
        <v>78</v>
      </c>
      <c r="B12" s="443"/>
      <c r="C12" s="444">
        <f>F12+G12</f>
        <v>0</v>
      </c>
      <c r="D12" s="442"/>
      <c r="E12" s="442"/>
      <c r="F12" s="246"/>
      <c r="G12" s="24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</row>
    <row r="13" spans="1:213" x14ac:dyDescent="0.25">
      <c r="A13" s="443" t="s">
        <v>79</v>
      </c>
      <c r="B13" s="443"/>
      <c r="C13" s="444">
        <f>F13+G13</f>
        <v>0</v>
      </c>
      <c r="D13" s="442"/>
      <c r="E13" s="442"/>
      <c r="F13" s="246"/>
      <c r="G13" s="24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</row>
    <row r="14" spans="1:213" ht="28.5" customHeight="1" x14ac:dyDescent="0.25">
      <c r="A14" s="443" t="s">
        <v>80</v>
      </c>
      <c r="B14" s="443" t="s">
        <v>301</v>
      </c>
      <c r="C14" s="444">
        <f>'[1]МБУ ЖКХ'!AO36</f>
        <v>3537667</v>
      </c>
      <c r="D14" s="442"/>
      <c r="E14" s="442"/>
      <c r="F14" s="246">
        <v>3369207</v>
      </c>
      <c r="G14" s="247">
        <f>F14*5%</f>
        <v>168460.35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</row>
    <row r="15" spans="1:213" x14ac:dyDescent="0.25">
      <c r="A15" s="443" t="s">
        <v>81</v>
      </c>
      <c r="B15" s="443"/>
      <c r="C15" s="444"/>
      <c r="D15" s="442"/>
      <c r="E15" s="442"/>
      <c r="F15" s="246"/>
      <c r="G15" s="24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</row>
    <row r="16" spans="1:213" x14ac:dyDescent="0.25">
      <c r="A16" s="443" t="s">
        <v>82</v>
      </c>
      <c r="B16" s="443"/>
      <c r="C16" s="444"/>
      <c r="D16" s="442"/>
      <c r="E16" s="442"/>
      <c r="F16" s="246"/>
      <c r="G16" s="24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</row>
    <row r="17" spans="1:213" ht="30" customHeight="1" x14ac:dyDescent="0.25">
      <c r="A17" s="443" t="s">
        <v>83</v>
      </c>
      <c r="B17" s="443" t="s">
        <v>301</v>
      </c>
      <c r="C17" s="444">
        <f>'[1]МБУ ЖКХ'!AO37</f>
        <v>2845984</v>
      </c>
      <c r="D17" s="442"/>
      <c r="E17" s="442"/>
      <c r="F17" s="246">
        <v>2710461</v>
      </c>
      <c r="G17" s="247">
        <f>F17*5%</f>
        <v>135523.05000000002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</row>
    <row r="18" spans="1:213" x14ac:dyDescent="0.25">
      <c r="A18" s="443" t="s">
        <v>84</v>
      </c>
      <c r="B18" s="443"/>
      <c r="C18" s="444"/>
      <c r="D18" s="442"/>
      <c r="E18" s="442"/>
      <c r="F18" s="246"/>
      <c r="G18" s="24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</row>
    <row r="19" spans="1:213" x14ac:dyDescent="0.25">
      <c r="A19" s="443" t="s">
        <v>85</v>
      </c>
      <c r="B19" s="443"/>
      <c r="C19" s="444"/>
      <c r="D19" s="442"/>
      <c r="E19" s="442"/>
      <c r="F19" s="246"/>
      <c r="G19" s="24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</row>
    <row r="20" spans="1:213" x14ac:dyDescent="0.25">
      <c r="A20" s="443" t="s">
        <v>86</v>
      </c>
      <c r="B20" s="443"/>
      <c r="C20" s="444"/>
      <c r="D20" s="442"/>
      <c r="E20" s="442"/>
      <c r="F20" s="246"/>
      <c r="G20" s="24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</row>
    <row r="21" spans="1:213" x14ac:dyDescent="0.25">
      <c r="A21" s="443" t="s">
        <v>87</v>
      </c>
      <c r="B21" s="443"/>
      <c r="C21" s="444"/>
      <c r="D21" s="442"/>
      <c r="E21" s="442"/>
      <c r="F21" s="246"/>
      <c r="G21" s="24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</row>
    <row r="22" spans="1:213" x14ac:dyDescent="0.25">
      <c r="A22" s="443" t="s">
        <v>88</v>
      </c>
      <c r="B22" s="443"/>
      <c r="C22" s="444"/>
      <c r="D22" s="442"/>
      <c r="E22" s="442"/>
      <c r="F22" s="246"/>
      <c r="G22" s="24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</row>
    <row r="23" spans="1:213" ht="25.5" customHeight="1" x14ac:dyDescent="0.25">
      <c r="A23" s="443" t="s">
        <v>89</v>
      </c>
      <c r="B23" s="443" t="s">
        <v>301</v>
      </c>
      <c r="C23" s="444">
        <f>'[1]МБУ ЖКХ'!AO38</f>
        <v>2108135</v>
      </c>
      <c r="D23" s="442"/>
      <c r="E23" s="442"/>
      <c r="F23" s="246">
        <v>2007748</v>
      </c>
      <c r="G23" s="247">
        <f>F23*5%</f>
        <v>100387.40000000001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</row>
    <row r="24" spans="1:213" x14ac:dyDescent="0.25">
      <c r="A24" s="443" t="s">
        <v>90</v>
      </c>
      <c r="B24" s="443"/>
      <c r="C24" s="444"/>
      <c r="D24" s="442"/>
      <c r="E24" s="442"/>
      <c r="F24" s="246"/>
      <c r="G24" s="24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</row>
    <row r="25" spans="1:213" x14ac:dyDescent="0.25">
      <c r="A25" s="443" t="s">
        <v>91</v>
      </c>
      <c r="B25" s="443"/>
      <c r="C25" s="444"/>
      <c r="D25" s="442"/>
      <c r="E25" s="442"/>
      <c r="F25" s="246"/>
      <c r="G25" s="24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</row>
    <row r="26" spans="1:213" x14ac:dyDescent="0.25">
      <c r="A26" s="443" t="s">
        <v>92</v>
      </c>
      <c r="B26" s="443"/>
      <c r="C26" s="444"/>
      <c r="D26" s="442"/>
      <c r="E26" s="442"/>
      <c r="F26" s="246"/>
      <c r="G26" s="24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</row>
    <row r="27" spans="1:213" x14ac:dyDescent="0.25">
      <c r="A27" s="443" t="s">
        <v>93</v>
      </c>
      <c r="B27" s="443"/>
      <c r="C27" s="444"/>
      <c r="D27" s="442"/>
      <c r="E27" s="442"/>
      <c r="F27" s="246"/>
      <c r="G27" s="24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</row>
    <row r="28" spans="1:213" x14ac:dyDescent="0.25">
      <c r="A28" s="443" t="s">
        <v>94</v>
      </c>
      <c r="B28" s="443"/>
      <c r="C28" s="444"/>
      <c r="D28" s="442"/>
      <c r="E28" s="442"/>
      <c r="F28" s="246"/>
      <c r="G28" s="24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</row>
    <row r="29" spans="1:213" x14ac:dyDescent="0.25">
      <c r="A29" s="443" t="s">
        <v>95</v>
      </c>
      <c r="B29" s="443"/>
      <c r="C29" s="444"/>
      <c r="D29" s="442"/>
      <c r="E29" s="442"/>
      <c r="F29" s="246"/>
      <c r="G29" s="24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</row>
    <row r="30" spans="1:213" x14ac:dyDescent="0.25">
      <c r="A30" s="443" t="s">
        <v>96</v>
      </c>
      <c r="B30" s="443"/>
      <c r="C30" s="444"/>
      <c r="D30" s="442"/>
      <c r="E30" s="442"/>
      <c r="F30" s="246"/>
      <c r="G30" s="247"/>
      <c r="H30" s="7"/>
      <c r="I30" s="7" t="s"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</row>
    <row r="31" spans="1:213" x14ac:dyDescent="0.25">
      <c r="A31" s="443" t="s">
        <v>97</v>
      </c>
      <c r="B31" s="443"/>
      <c r="C31" s="444"/>
      <c r="D31" s="442"/>
      <c r="E31" s="442"/>
      <c r="F31" s="246"/>
      <c r="G31" s="247"/>
      <c r="H31" s="7" t="s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</row>
    <row r="32" spans="1:213" ht="15.75" thickBot="1" x14ac:dyDescent="0.3">
      <c r="A32" s="317" t="s">
        <v>1</v>
      </c>
      <c r="B32" s="317"/>
      <c r="C32" s="75">
        <f>SUM(C12:C31)</f>
        <v>8491786</v>
      </c>
      <c r="D32" s="75">
        <v>8087416</v>
      </c>
      <c r="E32" s="75">
        <v>8895060</v>
      </c>
      <c r="F32" s="248">
        <f>SUM(F12:F31)</f>
        <v>8087416</v>
      </c>
      <c r="G32" s="248">
        <f>SUM(G12:G31)</f>
        <v>404370.80000000005</v>
      </c>
    </row>
    <row r="33" spans="1:5" x14ac:dyDescent="0.25">
      <c r="A33" s="3"/>
      <c r="B33" s="3"/>
      <c r="C33" s="73"/>
    </row>
    <row r="34" spans="1:5" x14ac:dyDescent="0.25">
      <c r="A34" s="3"/>
      <c r="B34" s="3"/>
      <c r="C34" s="73"/>
    </row>
    <row r="35" spans="1:5" x14ac:dyDescent="0.25">
      <c r="A35" s="3"/>
      <c r="B35" s="3"/>
      <c r="C35" s="73"/>
      <c r="E35" t="s">
        <v>0</v>
      </c>
    </row>
    <row r="36" spans="1:5" x14ac:dyDescent="0.25">
      <c r="A36" s="3"/>
      <c r="B36" s="3"/>
      <c r="C36" s="73"/>
    </row>
    <row r="37" spans="1:5" x14ac:dyDescent="0.25">
      <c r="A37" s="3"/>
      <c r="B37" s="3"/>
      <c r="C37" s="74"/>
    </row>
    <row r="38" spans="1:5" x14ac:dyDescent="0.25">
      <c r="A38" s="3"/>
      <c r="B38" s="3"/>
      <c r="C38" s="73"/>
    </row>
    <row r="39" spans="1:5" x14ac:dyDescent="0.25">
      <c r="A39" s="3"/>
      <c r="B39" s="3"/>
      <c r="C39" s="73"/>
    </row>
  </sheetData>
  <mergeCells count="9">
    <mergeCell ref="C1:E1"/>
    <mergeCell ref="C2:E2"/>
    <mergeCell ref="C3:E3"/>
    <mergeCell ref="F6:F9"/>
    <mergeCell ref="G6:G9"/>
    <mergeCell ref="A5:E5"/>
    <mergeCell ref="A6:A10"/>
    <mergeCell ref="B6:B10"/>
    <mergeCell ref="C6:E9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39"/>
  <sheetViews>
    <sheetView zoomScaleNormal="100" workbookViewId="0">
      <selection activeCell="B4" sqref="B4:D4"/>
    </sheetView>
  </sheetViews>
  <sheetFormatPr defaultRowHeight="15" x14ac:dyDescent="0.25"/>
  <cols>
    <col min="1" max="1" width="51.85546875" customWidth="1"/>
    <col min="2" max="2" width="10.7109375" customWidth="1"/>
    <col min="3" max="3" width="10" customWidth="1"/>
    <col min="4" max="4" width="11.85546875" customWidth="1"/>
  </cols>
  <sheetData>
    <row r="1" spans="1:213" s="2" customFormat="1" ht="12.75" x14ac:dyDescent="0.2">
      <c r="B1" s="563"/>
      <c r="C1" s="563"/>
      <c r="D1" s="563"/>
    </row>
    <row r="2" spans="1:213" s="2" customFormat="1" ht="12.75" x14ac:dyDescent="0.2">
      <c r="A2" s="445"/>
      <c r="B2" s="557" t="s">
        <v>602</v>
      </c>
      <c r="C2" s="557"/>
      <c r="D2" s="557"/>
    </row>
    <row r="3" spans="1:213" s="2" customFormat="1" ht="12.75" x14ac:dyDescent="0.2">
      <c r="A3" s="445"/>
      <c r="B3" s="557" t="s">
        <v>571</v>
      </c>
      <c r="C3" s="557"/>
      <c r="D3" s="557"/>
    </row>
    <row r="4" spans="1:213" s="2" customFormat="1" ht="12.75" x14ac:dyDescent="0.2">
      <c r="A4" s="445"/>
      <c r="B4" s="557" t="s">
        <v>626</v>
      </c>
      <c r="C4" s="557"/>
      <c r="D4" s="557"/>
    </row>
    <row r="5" spans="1:213" s="2" customFormat="1" ht="12.75" customHeight="1" x14ac:dyDescent="0.2">
      <c r="B5" s="564"/>
      <c r="C5" s="564"/>
      <c r="D5" s="564"/>
    </row>
    <row r="6" spans="1:213" s="2" customFormat="1" ht="50.1" customHeight="1" thickBot="1" x14ac:dyDescent="0.25">
      <c r="A6" s="565" t="s">
        <v>302</v>
      </c>
      <c r="B6" s="565"/>
      <c r="C6" s="565"/>
      <c r="D6" s="565"/>
    </row>
    <row r="7" spans="1:213" s="2" customFormat="1" ht="25.5" customHeight="1" x14ac:dyDescent="0.2">
      <c r="A7" s="566" t="s">
        <v>104</v>
      </c>
      <c r="B7" s="561" t="s">
        <v>6</v>
      </c>
      <c r="C7" s="561"/>
      <c r="D7" s="561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</row>
    <row r="8" spans="1:213" s="2" customFormat="1" ht="22.7" customHeight="1" x14ac:dyDescent="0.2">
      <c r="A8" s="567"/>
      <c r="B8" s="561"/>
      <c r="C8" s="561"/>
      <c r="D8" s="561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</row>
    <row r="9" spans="1:213" s="2" customFormat="1" ht="11.25" customHeight="1" x14ac:dyDescent="0.2">
      <c r="A9" s="567"/>
      <c r="B9" s="561"/>
      <c r="C9" s="561"/>
      <c r="D9" s="561"/>
      <c r="E9" s="67"/>
      <c r="F9" s="562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</row>
    <row r="10" spans="1:213" s="2" customFormat="1" ht="16.350000000000001" customHeight="1" thickBot="1" x14ac:dyDescent="0.25">
      <c r="A10" s="568"/>
      <c r="B10" s="76" t="s">
        <v>180</v>
      </c>
      <c r="C10" s="76" t="s">
        <v>220</v>
      </c>
      <c r="D10" s="76" t="s">
        <v>255</v>
      </c>
      <c r="E10" s="67"/>
      <c r="F10" s="56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</row>
    <row r="11" spans="1:213" s="2" customFormat="1" ht="8.65" customHeight="1" thickBot="1" x14ac:dyDescent="0.25">
      <c r="A11" s="446" t="s">
        <v>48</v>
      </c>
      <c r="B11" s="447" t="s">
        <v>36</v>
      </c>
      <c r="C11" s="448" t="s">
        <v>49</v>
      </c>
      <c r="D11" s="449" t="s">
        <v>50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</row>
    <row r="12" spans="1:213" s="2" customFormat="1" ht="12.75" x14ac:dyDescent="0.2">
      <c r="A12" s="77" t="s">
        <v>78</v>
      </c>
      <c r="B12" s="78">
        <v>119000</v>
      </c>
      <c r="C12" s="79">
        <v>124000</v>
      </c>
      <c r="D12" s="79">
        <v>127000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</row>
    <row r="13" spans="1:213" s="2" customFormat="1" ht="12.75" x14ac:dyDescent="0.2">
      <c r="A13" s="77" t="s">
        <v>79</v>
      </c>
      <c r="B13" s="78">
        <v>306000</v>
      </c>
      <c r="C13" s="79">
        <v>314000</v>
      </c>
      <c r="D13" s="79">
        <v>325000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</row>
    <row r="14" spans="1:213" s="2" customFormat="1" ht="12.75" x14ac:dyDescent="0.2">
      <c r="A14" s="77" t="s">
        <v>80</v>
      </c>
      <c r="B14" s="78">
        <v>249000</v>
      </c>
      <c r="C14" s="79">
        <v>257000</v>
      </c>
      <c r="D14" s="79">
        <v>266000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</row>
    <row r="15" spans="1:213" s="2" customFormat="1" ht="12.75" x14ac:dyDescent="0.2">
      <c r="A15" s="77" t="s">
        <v>81</v>
      </c>
      <c r="B15" s="78">
        <v>105000</v>
      </c>
      <c r="C15" s="79">
        <v>110000</v>
      </c>
      <c r="D15" s="79">
        <v>113000</v>
      </c>
      <c r="E15" s="67"/>
      <c r="F15" s="67"/>
      <c r="G15" s="11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</row>
    <row r="16" spans="1:213" s="2" customFormat="1" ht="12.75" x14ac:dyDescent="0.2">
      <c r="A16" s="77" t="s">
        <v>82</v>
      </c>
      <c r="B16" s="78">
        <v>0</v>
      </c>
      <c r="C16" s="79">
        <v>0</v>
      </c>
      <c r="D16" s="79">
        <f>B16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</row>
    <row r="17" spans="1:213" s="2" customFormat="1" ht="12.75" x14ac:dyDescent="0.2">
      <c r="A17" s="77" t="s">
        <v>83</v>
      </c>
      <c r="B17" s="78">
        <v>277000</v>
      </c>
      <c r="C17" s="79">
        <v>286000</v>
      </c>
      <c r="D17" s="79">
        <v>297000</v>
      </c>
      <c r="E17" s="67"/>
      <c r="F17" s="67"/>
      <c r="G17" s="11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</row>
    <row r="18" spans="1:213" s="2" customFormat="1" ht="12.75" x14ac:dyDescent="0.2">
      <c r="A18" s="77" t="s">
        <v>84</v>
      </c>
      <c r="B18" s="78">
        <v>282000</v>
      </c>
      <c r="C18" s="79">
        <v>290000</v>
      </c>
      <c r="D18" s="79">
        <v>301000</v>
      </c>
      <c r="E18" s="67"/>
      <c r="F18" s="67"/>
      <c r="G18" s="11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</row>
    <row r="19" spans="1:213" s="2" customFormat="1" ht="12.75" x14ac:dyDescent="0.2">
      <c r="A19" s="77" t="s">
        <v>85</v>
      </c>
      <c r="B19" s="78">
        <v>110000</v>
      </c>
      <c r="C19" s="79">
        <v>115000</v>
      </c>
      <c r="D19" s="79">
        <v>118000</v>
      </c>
      <c r="E19" s="67"/>
      <c r="F19" s="67"/>
      <c r="G19" s="11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</row>
    <row r="20" spans="1:213" s="2" customFormat="1" ht="12.75" x14ac:dyDescent="0.2">
      <c r="A20" s="77" t="s">
        <v>86</v>
      </c>
      <c r="B20" s="78">
        <v>102000</v>
      </c>
      <c r="C20" s="79">
        <v>106000</v>
      </c>
      <c r="D20" s="79">
        <v>109000</v>
      </c>
      <c r="E20" s="67"/>
      <c r="F20" s="67"/>
      <c r="G20" s="11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</row>
    <row r="21" spans="1:213" s="2" customFormat="1" ht="12.75" x14ac:dyDescent="0.2">
      <c r="A21" s="77" t="s">
        <v>87</v>
      </c>
      <c r="B21" s="78">
        <v>91000</v>
      </c>
      <c r="C21" s="79">
        <v>95000</v>
      </c>
      <c r="D21" s="79">
        <v>98000</v>
      </c>
      <c r="E21" s="67"/>
      <c r="F21" s="67"/>
      <c r="G21" s="11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</row>
    <row r="22" spans="1:213" s="2" customFormat="1" ht="12.75" x14ac:dyDescent="0.2">
      <c r="A22" s="77" t="s">
        <v>88</v>
      </c>
      <c r="B22" s="78">
        <v>103000</v>
      </c>
      <c r="C22" s="79">
        <v>108000</v>
      </c>
      <c r="D22" s="79">
        <v>111000</v>
      </c>
      <c r="E22" s="67"/>
      <c r="F22" s="67"/>
      <c r="G22" s="11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</row>
    <row r="23" spans="1:213" s="2" customFormat="1" ht="12.75" x14ac:dyDescent="0.2">
      <c r="A23" s="77" t="s">
        <v>89</v>
      </c>
      <c r="B23" s="78">
        <v>102000</v>
      </c>
      <c r="C23" s="79">
        <v>106000</v>
      </c>
      <c r="D23" s="79">
        <v>109000</v>
      </c>
      <c r="E23" s="67"/>
      <c r="F23" s="67"/>
      <c r="G23" s="11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</row>
    <row r="24" spans="1:213" s="2" customFormat="1" ht="12.75" x14ac:dyDescent="0.2">
      <c r="A24" s="77" t="s">
        <v>90</v>
      </c>
      <c r="B24" s="78">
        <v>254000</v>
      </c>
      <c r="C24" s="79">
        <v>262000</v>
      </c>
      <c r="D24" s="79">
        <v>271000</v>
      </c>
      <c r="E24" s="67"/>
      <c r="F24" s="67"/>
      <c r="G24" s="11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</row>
    <row r="25" spans="1:213" s="2" customFormat="1" ht="12.75" x14ac:dyDescent="0.2">
      <c r="A25" s="77" t="s">
        <v>91</v>
      </c>
      <c r="B25" s="78">
        <v>246000</v>
      </c>
      <c r="C25" s="79">
        <v>254000</v>
      </c>
      <c r="D25" s="79">
        <v>263000</v>
      </c>
      <c r="E25" s="67"/>
      <c r="F25" s="67"/>
      <c r="G25" s="11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</row>
    <row r="26" spans="1:213" s="2" customFormat="1" ht="12.75" x14ac:dyDescent="0.2">
      <c r="A26" s="77" t="s">
        <v>92</v>
      </c>
      <c r="B26" s="78">
        <v>108000</v>
      </c>
      <c r="C26" s="79">
        <v>113000</v>
      </c>
      <c r="D26" s="79">
        <v>116000</v>
      </c>
      <c r="E26" s="67"/>
      <c r="F26" s="67"/>
      <c r="G26" s="11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</row>
    <row r="27" spans="1:213" s="2" customFormat="1" ht="12.75" x14ac:dyDescent="0.2">
      <c r="A27" s="77" t="s">
        <v>93</v>
      </c>
      <c r="B27" s="78">
        <v>91000</v>
      </c>
      <c r="C27" s="79">
        <v>95000</v>
      </c>
      <c r="D27" s="79">
        <v>98000</v>
      </c>
      <c r="E27" s="67"/>
      <c r="F27" s="67"/>
      <c r="G27" s="11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</row>
    <row r="28" spans="1:213" s="2" customFormat="1" ht="12.75" x14ac:dyDescent="0.2">
      <c r="A28" s="77" t="s">
        <v>94</v>
      </c>
      <c r="B28" s="78">
        <v>249000</v>
      </c>
      <c r="C28" s="79">
        <v>256000</v>
      </c>
      <c r="D28" s="79">
        <v>265000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</row>
    <row r="29" spans="1:213" s="2" customFormat="1" ht="12.75" x14ac:dyDescent="0.2">
      <c r="A29" s="77" t="s">
        <v>95</v>
      </c>
      <c r="B29" s="78">
        <v>112000</v>
      </c>
      <c r="C29" s="79">
        <v>117000</v>
      </c>
      <c r="D29" s="79">
        <v>120000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</row>
    <row r="30" spans="1:213" s="2" customFormat="1" ht="12.75" x14ac:dyDescent="0.2">
      <c r="A30" s="77" t="s">
        <v>96</v>
      </c>
      <c r="B30" s="78">
        <v>107000</v>
      </c>
      <c r="C30" s="79">
        <v>112000</v>
      </c>
      <c r="D30" s="79">
        <v>115000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</row>
    <row r="31" spans="1:213" s="2" customFormat="1" ht="13.5" thickBot="1" x14ac:dyDescent="0.25">
      <c r="A31" s="80" t="s">
        <v>97</v>
      </c>
      <c r="B31" s="78">
        <v>96000</v>
      </c>
      <c r="C31" s="79">
        <v>100000</v>
      </c>
      <c r="D31" s="79">
        <v>103000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</row>
    <row r="32" spans="1:213" s="2" customFormat="1" ht="13.5" thickBot="1" x14ac:dyDescent="0.25">
      <c r="A32" s="70" t="s">
        <v>1</v>
      </c>
      <c r="B32" s="81">
        <f>SUM(B12:B31)</f>
        <v>3109000</v>
      </c>
      <c r="C32" s="81">
        <f>SUM(C12:C31)</f>
        <v>3220000</v>
      </c>
      <c r="D32" s="81">
        <f>SUM(D12:D31)</f>
        <v>3325000</v>
      </c>
    </row>
    <row r="33" spans="1:4" s="2" customFormat="1" ht="12.75" x14ac:dyDescent="0.2">
      <c r="B33" s="71"/>
    </row>
    <row r="34" spans="1:4" s="2" customFormat="1" ht="12.75" x14ac:dyDescent="0.2">
      <c r="B34" s="71"/>
    </row>
    <row r="35" spans="1:4" s="2" customFormat="1" ht="12.75" x14ac:dyDescent="0.2">
      <c r="B35" s="71"/>
    </row>
    <row r="36" spans="1:4" s="2" customFormat="1" ht="12.75" x14ac:dyDescent="0.2">
      <c r="A36" s="2" t="s">
        <v>303</v>
      </c>
      <c r="B36" s="71">
        <f>'[1]Доходы №1'!E52*1000</f>
        <v>3109000</v>
      </c>
      <c r="C36" s="2">
        <f>'[1]Доходы №1'!F52*1000</f>
        <v>3220000</v>
      </c>
      <c r="D36" s="2">
        <f>'[1]Доходы №1'!G52*1000</f>
        <v>3325000</v>
      </c>
    </row>
    <row r="37" spans="1:4" s="2" customFormat="1" ht="12.75" x14ac:dyDescent="0.2">
      <c r="A37" s="2" t="s">
        <v>304</v>
      </c>
      <c r="B37" s="249">
        <f>B36-B32</f>
        <v>0</v>
      </c>
      <c r="C37" s="250">
        <f>C36-C32</f>
        <v>0</v>
      </c>
      <c r="D37" s="250">
        <f>D36-D32</f>
        <v>0</v>
      </c>
    </row>
    <row r="38" spans="1:4" x14ac:dyDescent="0.25">
      <c r="A38" s="3"/>
      <c r="B38" s="73"/>
    </row>
    <row r="39" spans="1:4" x14ac:dyDescent="0.25">
      <c r="A39" s="3"/>
      <c r="B39" s="73"/>
    </row>
  </sheetData>
  <mergeCells count="9">
    <mergeCell ref="B7:D9"/>
    <mergeCell ref="F9:F10"/>
    <mergeCell ref="B1:D1"/>
    <mergeCell ref="B5:D5"/>
    <mergeCell ref="A6:D6"/>
    <mergeCell ref="A7:A10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2"/>
  <sheetViews>
    <sheetView view="pageBreakPreview" zoomScale="115" zoomScaleNormal="100" zoomScaleSheetLayoutView="115" workbookViewId="0">
      <selection activeCell="O4" sqref="O4:R4"/>
    </sheetView>
  </sheetViews>
  <sheetFormatPr defaultColWidth="8.7109375" defaultRowHeight="15" x14ac:dyDescent="0.25"/>
  <cols>
    <col min="1" max="1" width="4.140625" style="29" customWidth="1"/>
    <col min="2" max="2" width="23.7109375" style="29" customWidth="1"/>
    <col min="3" max="5" width="10.85546875" style="29" customWidth="1"/>
    <col min="6" max="7" width="9.85546875" style="29" customWidth="1"/>
    <col min="8" max="8" width="10.7109375" style="29" customWidth="1"/>
    <col min="9" max="9" width="7.5703125" style="29" customWidth="1"/>
    <col min="10" max="10" width="10.85546875" style="29" customWidth="1"/>
    <col min="11" max="12" width="7.5703125" style="29" customWidth="1"/>
    <col min="13" max="13" width="8.42578125" style="29" customWidth="1"/>
    <col min="14" max="14" width="10.140625" style="29" customWidth="1"/>
    <col min="15" max="16" width="8.85546875" style="29" customWidth="1"/>
    <col min="17" max="17" width="11.7109375" style="29" customWidth="1"/>
    <col min="18" max="18" width="10.85546875" style="29" customWidth="1"/>
    <col min="19" max="19" width="24.85546875" style="29" customWidth="1"/>
    <col min="20" max="20" width="9.85546875" style="29" bestFit="1" customWidth="1"/>
    <col min="21" max="29" width="8.7109375" style="29"/>
    <col min="30" max="30" width="10" style="29" bestFit="1" customWidth="1"/>
    <col min="31" max="16384" width="8.7109375" style="29"/>
  </cols>
  <sheetData>
    <row r="1" spans="1:29" s="14" customFormat="1" ht="12.75" x14ac:dyDescent="0.2"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29" s="14" customFormat="1" ht="12.75" x14ac:dyDescent="0.2">
      <c r="F2" s="215"/>
      <c r="G2" s="215"/>
      <c r="H2" s="215"/>
      <c r="I2" s="215"/>
      <c r="J2" s="215"/>
      <c r="K2" s="215"/>
      <c r="L2" s="215"/>
      <c r="M2" s="215"/>
      <c r="N2" s="450"/>
      <c r="O2" s="570" t="s">
        <v>605</v>
      </c>
      <c r="P2" s="570"/>
      <c r="Q2" s="570"/>
      <c r="R2" s="570"/>
    </row>
    <row r="3" spans="1:29" s="14" customFormat="1" ht="12.75" x14ac:dyDescent="0.2">
      <c r="F3" s="215"/>
      <c r="G3" s="215"/>
      <c r="H3" s="215"/>
      <c r="I3" s="215"/>
      <c r="J3" s="215"/>
      <c r="K3" s="215"/>
      <c r="L3" s="215"/>
      <c r="M3" s="215"/>
      <c r="N3" s="450"/>
      <c r="O3" s="570" t="s">
        <v>603</v>
      </c>
      <c r="P3" s="570"/>
      <c r="Q3" s="570"/>
      <c r="R3" s="570"/>
    </row>
    <row r="4" spans="1:29" s="14" customFormat="1" ht="12.75" x14ac:dyDescent="0.2">
      <c r="H4" s="450"/>
      <c r="I4" s="450"/>
      <c r="J4" s="450"/>
      <c r="K4" s="450"/>
      <c r="L4" s="450"/>
      <c r="M4" s="450"/>
      <c r="N4" s="450"/>
      <c r="O4" s="570" t="s">
        <v>625</v>
      </c>
      <c r="P4" s="570"/>
      <c r="Q4" s="570"/>
      <c r="R4" s="570"/>
    </row>
    <row r="5" spans="1:29" s="14" customFormat="1" ht="12.75" x14ac:dyDescent="0.2"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29" s="14" customFormat="1" ht="12.75" x14ac:dyDescent="0.2">
      <c r="A6" s="573" t="s">
        <v>116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</row>
    <row r="7" spans="1:29" s="14" customFormat="1" ht="12.75" x14ac:dyDescent="0.2">
      <c r="A7" s="573" t="s">
        <v>604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</row>
    <row r="8" spans="1:29" s="14" customFormat="1" ht="12.75" x14ac:dyDescent="0.2">
      <c r="A8" s="573" t="s">
        <v>117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</row>
    <row r="9" spans="1:29" s="14" customFormat="1" ht="12.75" x14ac:dyDescent="0.2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29" s="14" customFormat="1" ht="12.75" customHeight="1" x14ac:dyDescent="0.2">
      <c r="A10" s="571" t="s">
        <v>3</v>
      </c>
      <c r="B10" s="572" t="s">
        <v>118</v>
      </c>
      <c r="C10" s="585" t="s">
        <v>180</v>
      </c>
      <c r="D10" s="574">
        <v>111</v>
      </c>
      <c r="E10" s="574"/>
      <c r="F10" s="574"/>
      <c r="G10" s="214"/>
      <c r="H10" s="592" t="s">
        <v>119</v>
      </c>
      <c r="I10" s="218">
        <v>112</v>
      </c>
      <c r="J10" s="214">
        <v>119</v>
      </c>
      <c r="K10" s="170">
        <v>244</v>
      </c>
      <c r="L10" s="170">
        <v>244</v>
      </c>
      <c r="M10" s="170">
        <v>244</v>
      </c>
      <c r="N10" s="170">
        <v>244</v>
      </c>
      <c r="O10" s="574">
        <v>244</v>
      </c>
      <c r="P10" s="574"/>
      <c r="Q10" s="574" t="s">
        <v>220</v>
      </c>
      <c r="R10" s="574" t="s">
        <v>255</v>
      </c>
    </row>
    <row r="11" spans="1:29" s="14" customFormat="1" ht="12.75" customHeight="1" x14ac:dyDescent="0.2">
      <c r="A11" s="571"/>
      <c r="B11" s="572"/>
      <c r="C11" s="586"/>
      <c r="D11" s="580" t="s">
        <v>120</v>
      </c>
      <c r="E11" s="581"/>
      <c r="F11" s="581"/>
      <c r="G11" s="582"/>
      <c r="H11" s="592"/>
      <c r="I11" s="587" t="s">
        <v>121</v>
      </c>
      <c r="J11" s="576" t="s">
        <v>122</v>
      </c>
      <c r="K11" s="576" t="s">
        <v>236</v>
      </c>
      <c r="L11" s="578" t="s">
        <v>194</v>
      </c>
      <c r="M11" s="590" t="s">
        <v>123</v>
      </c>
      <c r="N11" s="578" t="s">
        <v>124</v>
      </c>
      <c r="O11" s="584" t="s">
        <v>125</v>
      </c>
      <c r="P11" s="584" t="s">
        <v>126</v>
      </c>
      <c r="Q11" s="574"/>
      <c r="R11" s="57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14" customFormat="1" ht="173.65" customHeight="1" thickBot="1" x14ac:dyDescent="0.25">
      <c r="A12" s="571"/>
      <c r="B12" s="572"/>
      <c r="C12" s="586"/>
      <c r="D12" s="217" t="s">
        <v>195</v>
      </c>
      <c r="E12" s="217" t="s">
        <v>196</v>
      </c>
      <c r="F12" s="217" t="s">
        <v>197</v>
      </c>
      <c r="G12" s="217" t="s">
        <v>127</v>
      </c>
      <c r="H12" s="592"/>
      <c r="I12" s="588"/>
      <c r="J12" s="589"/>
      <c r="K12" s="577"/>
      <c r="L12" s="579"/>
      <c r="M12" s="591"/>
      <c r="N12" s="583"/>
      <c r="O12" s="584"/>
      <c r="P12" s="584"/>
      <c r="Q12" s="574"/>
      <c r="R12" s="574"/>
      <c r="S12" s="15"/>
      <c r="T12" s="15"/>
      <c r="U12" s="15">
        <v>310</v>
      </c>
      <c r="V12" s="15">
        <v>340</v>
      </c>
      <c r="W12" s="15"/>
      <c r="X12" s="15"/>
      <c r="Y12" s="15"/>
      <c r="Z12" s="15"/>
      <c r="AA12" s="15"/>
      <c r="AB12" s="15"/>
      <c r="AC12" s="15"/>
    </row>
    <row r="13" spans="1:29" s="14" customFormat="1" ht="13.5" thickTop="1" x14ac:dyDescent="0.2">
      <c r="A13" s="12">
        <v>1</v>
      </c>
      <c r="B13" s="98" t="str">
        <f>'[1]учительство  '!B5</f>
        <v xml:space="preserve"> МКОУ Алак СОШ лицей</v>
      </c>
      <c r="C13" s="19">
        <f t="shared" ref="C13:C43" si="0">SUM(H13:P13)</f>
        <v>26098405.474844448</v>
      </c>
      <c r="D13" s="19">
        <f>'[1]учительство  '!AX5</f>
        <v>1847524.7999999998</v>
      </c>
      <c r="E13" s="19">
        <f>'[1]учительство  '!AM5</f>
        <v>14168332.400000002</v>
      </c>
      <c r="F13" s="19">
        <f>'[1]учительство  '!BC5</f>
        <v>500040</v>
      </c>
      <c r="G13" s="19">
        <f>'[1]учительство  '!BM5</f>
        <v>3183588</v>
      </c>
      <c r="H13" s="19">
        <f>SUM(D13:G13)</f>
        <v>19699485.200000003</v>
      </c>
      <c r="I13" s="19"/>
      <c r="J13" s="19">
        <f>H13*30.2%</f>
        <v>5949244.5304000005</v>
      </c>
      <c r="K13" s="171"/>
      <c r="L13" s="171"/>
      <c r="M13" s="12"/>
      <c r="N13" s="171">
        <f>[1]Школы!BM10</f>
        <v>449675.74444444443</v>
      </c>
      <c r="O13" s="19">
        <f>[1]Школы!BY10</f>
        <v>0</v>
      </c>
      <c r="P13" s="19">
        <f>[1]Школы!CN10</f>
        <v>0</v>
      </c>
      <c r="Q13" s="19">
        <f>C13</f>
        <v>26098405.474844448</v>
      </c>
      <c r="R13" s="19">
        <f>Q13</f>
        <v>26098405.474844448</v>
      </c>
      <c r="S13" s="15"/>
      <c r="T13" s="21">
        <f>'[1]учительство  '!CD5</f>
        <v>0</v>
      </c>
      <c r="U13" s="251">
        <f>O13*0.60677385766</f>
        <v>0</v>
      </c>
      <c r="V13" s="251">
        <f>P13*0.59161</f>
        <v>0</v>
      </c>
      <c r="W13" s="251">
        <f>SUM(U13:V13)</f>
        <v>0</v>
      </c>
      <c r="X13" s="15"/>
      <c r="Y13" s="15"/>
      <c r="Z13" s="15"/>
      <c r="AA13" s="15"/>
      <c r="AB13" s="15"/>
      <c r="AC13" s="15"/>
    </row>
    <row r="14" spans="1:29" s="14" customFormat="1" ht="12.75" x14ac:dyDescent="0.2">
      <c r="A14" s="172">
        <v>2</v>
      </c>
      <c r="B14" s="98" t="str">
        <f>'[1]учительство  '!B6</f>
        <v xml:space="preserve"> МКОУ Анди СОШ №1</v>
      </c>
      <c r="C14" s="19">
        <f t="shared" si="0"/>
        <v>27648221.246711116</v>
      </c>
      <c r="D14" s="19">
        <f>'[1]учительство  '!AX6</f>
        <v>3048447.5999999996</v>
      </c>
      <c r="E14" s="19">
        <f>'[1]учительство  '!AM6</f>
        <v>14033596.600000001</v>
      </c>
      <c r="F14" s="19">
        <f>'[1]учительство  '!BC6</f>
        <v>479205</v>
      </c>
      <c r="G14" s="19">
        <f>'[1]учительство  '!BM6</f>
        <v>3316098.5999999996</v>
      </c>
      <c r="H14" s="19">
        <f t="shared" ref="H14:H61" si="1">SUM(D14:G14)</f>
        <v>20877347.800000004</v>
      </c>
      <c r="I14" s="19"/>
      <c r="J14" s="19">
        <f t="shared" ref="J14:J43" si="2">H14*30.2%</f>
        <v>6304959.035600001</v>
      </c>
      <c r="K14" s="171"/>
      <c r="L14" s="171"/>
      <c r="M14" s="12"/>
      <c r="N14" s="171">
        <f>[1]Школы!BM11</f>
        <v>465914.41111111111</v>
      </c>
      <c r="O14" s="19">
        <f>[1]Школы!BY11</f>
        <v>0</v>
      </c>
      <c r="P14" s="19">
        <f>[1]Школы!CN11</f>
        <v>0</v>
      </c>
      <c r="Q14" s="19">
        <f t="shared" ref="Q14:Q43" si="3">C14</f>
        <v>27648221.246711116</v>
      </c>
      <c r="R14" s="19">
        <f t="shared" ref="R14:R43" si="4">Q14</f>
        <v>27648221.246711116</v>
      </c>
      <c r="S14" s="15"/>
      <c r="T14" s="21">
        <f>'[1]учительство  '!CD6</f>
        <v>0</v>
      </c>
      <c r="U14" s="251">
        <f t="shared" ref="U14:U43" si="5">O14*0.60677385766</f>
        <v>0</v>
      </c>
      <c r="V14" s="251">
        <f t="shared" ref="V14:V43" si="6">P14*0.59161</f>
        <v>0</v>
      </c>
      <c r="W14" s="251">
        <f t="shared" ref="W14:W43" si="7">SUM(U14:V14)</f>
        <v>0</v>
      </c>
      <c r="X14" s="15"/>
      <c r="Y14" s="15"/>
      <c r="Z14" s="15"/>
      <c r="AA14" s="15"/>
      <c r="AB14" s="15"/>
      <c r="AC14" s="15"/>
    </row>
    <row r="15" spans="1:29" s="14" customFormat="1" ht="12.75" x14ac:dyDescent="0.2">
      <c r="A15" s="12">
        <v>3</v>
      </c>
      <c r="B15" s="98" t="str">
        <f>'[1]учительство  '!B7</f>
        <v xml:space="preserve"> МКОУ Анди СОШ №2 </v>
      </c>
      <c r="C15" s="19">
        <f t="shared" si="0"/>
        <v>26371024.551844448</v>
      </c>
      <c r="D15" s="19">
        <f>'[1]учительство  '!AX7</f>
        <v>2461506</v>
      </c>
      <c r="E15" s="19">
        <f>'[1]учительство  '!AM7</f>
        <v>13995282.600000001</v>
      </c>
      <c r="F15" s="19">
        <f>'[1]учительство  '!BC7</f>
        <v>670887</v>
      </c>
      <c r="G15" s="19">
        <f>'[1]учительство  '!BM7</f>
        <v>2788973.0999999996</v>
      </c>
      <c r="H15" s="19">
        <f t="shared" si="1"/>
        <v>19916648.700000003</v>
      </c>
      <c r="I15" s="19"/>
      <c r="J15" s="19">
        <f t="shared" si="2"/>
        <v>6014827.9074000008</v>
      </c>
      <c r="K15" s="171"/>
      <c r="L15" s="171"/>
      <c r="M15" s="12"/>
      <c r="N15" s="171">
        <f>[1]Школы!BM12</f>
        <v>439547.94444444444</v>
      </c>
      <c r="O15" s="19">
        <f>[1]Школы!BY12</f>
        <v>0</v>
      </c>
      <c r="P15" s="19">
        <f>[1]Школы!CN12</f>
        <v>0</v>
      </c>
      <c r="Q15" s="19">
        <f t="shared" si="3"/>
        <v>26371024.551844448</v>
      </c>
      <c r="R15" s="19">
        <f t="shared" si="4"/>
        <v>26371024.551844448</v>
      </c>
      <c r="S15" s="15"/>
      <c r="T15" s="21">
        <f>'[1]учительство  '!CD7</f>
        <v>0</v>
      </c>
      <c r="U15" s="251">
        <f t="shared" si="5"/>
        <v>0</v>
      </c>
      <c r="V15" s="251">
        <f t="shared" si="6"/>
        <v>0</v>
      </c>
      <c r="W15" s="251">
        <f t="shared" si="7"/>
        <v>0</v>
      </c>
      <c r="X15" s="15"/>
      <c r="Y15" s="15"/>
      <c r="Z15" s="15"/>
      <c r="AA15" s="15"/>
      <c r="AB15" s="15"/>
      <c r="AC15" s="15"/>
    </row>
    <row r="16" spans="1:29" s="14" customFormat="1" ht="12.75" x14ac:dyDescent="0.2">
      <c r="A16" s="172">
        <v>4</v>
      </c>
      <c r="B16" s="98" t="str">
        <f>'[1]учительство  '!B8</f>
        <v xml:space="preserve"> МКОУ Ансалта СОШ</v>
      </c>
      <c r="C16" s="19">
        <f t="shared" si="0"/>
        <v>27242356.888</v>
      </c>
      <c r="D16" s="19">
        <f>'[1]учительство  '!AX8</f>
        <v>2184576</v>
      </c>
      <c r="E16" s="19">
        <f>'[1]учительство  '!AM8</f>
        <v>14379952</v>
      </c>
      <c r="F16" s="19">
        <f>'[1]учительство  '!BC8</f>
        <v>416700</v>
      </c>
      <c r="G16" s="19">
        <f>'[1]учительство  '!BM8</f>
        <v>3533616</v>
      </c>
      <c r="H16" s="19">
        <f t="shared" si="1"/>
        <v>20514844</v>
      </c>
      <c r="I16" s="19"/>
      <c r="J16" s="19">
        <f t="shared" si="2"/>
        <v>6195482.8880000003</v>
      </c>
      <c r="K16" s="171"/>
      <c r="L16" s="171"/>
      <c r="M16" s="12"/>
      <c r="N16" s="171">
        <f>[1]Школы!BM13</f>
        <v>532030</v>
      </c>
      <c r="O16" s="19">
        <f>[1]Школы!BY13</f>
        <v>0</v>
      </c>
      <c r="P16" s="19">
        <f>[1]Школы!CN13</f>
        <v>0</v>
      </c>
      <c r="Q16" s="19">
        <f t="shared" si="3"/>
        <v>27242356.888</v>
      </c>
      <c r="R16" s="19">
        <f t="shared" si="4"/>
        <v>27242356.888</v>
      </c>
      <c r="S16" s="15"/>
      <c r="T16" s="21">
        <f>'[1]учительство  '!CD8</f>
        <v>0</v>
      </c>
      <c r="U16" s="251">
        <f t="shared" si="5"/>
        <v>0</v>
      </c>
      <c r="V16" s="251">
        <f t="shared" si="6"/>
        <v>0</v>
      </c>
      <c r="W16" s="251">
        <f t="shared" si="7"/>
        <v>0</v>
      </c>
      <c r="X16" s="15"/>
      <c r="Y16" s="15"/>
      <c r="Z16" s="15"/>
      <c r="AA16" s="15"/>
      <c r="AB16" s="15"/>
      <c r="AC16" s="15"/>
    </row>
    <row r="17" spans="1:29" s="14" customFormat="1" ht="12.75" x14ac:dyDescent="0.2">
      <c r="A17" s="12">
        <v>5</v>
      </c>
      <c r="B17" s="98" t="str">
        <f>'[1]учительство  '!B9</f>
        <v xml:space="preserve"> МКОУ Ашали ООШ</v>
      </c>
      <c r="C17" s="19">
        <f t="shared" si="0"/>
        <v>10217726.099177778</v>
      </c>
      <c r="D17" s="19">
        <f>'[1]учительство  '!AX9</f>
        <v>658204.80000000005</v>
      </c>
      <c r="E17" s="19">
        <f>'[1]учительство  '!AM9</f>
        <v>5123096.8000000007</v>
      </c>
      <c r="F17" s="19">
        <f>'[1]учительство  '!BC9</f>
        <v>220434.3</v>
      </c>
      <c r="G17" s="19">
        <f>'[1]учительство  '!BM9</f>
        <v>1705969.7999999998</v>
      </c>
      <c r="H17" s="19">
        <f t="shared" si="1"/>
        <v>7707705.7000000002</v>
      </c>
      <c r="I17" s="19"/>
      <c r="J17" s="19">
        <f t="shared" si="2"/>
        <v>2327727.1214000001</v>
      </c>
      <c r="K17" s="171"/>
      <c r="L17" s="171"/>
      <c r="M17" s="12"/>
      <c r="N17" s="171">
        <f>[1]Школы!BM14</f>
        <v>182293.27777777778</v>
      </c>
      <c r="O17" s="19">
        <f>[1]Школы!BY14</f>
        <v>0</v>
      </c>
      <c r="P17" s="19">
        <f>[1]Школы!CN14</f>
        <v>0</v>
      </c>
      <c r="Q17" s="19">
        <f t="shared" si="3"/>
        <v>10217726.099177778</v>
      </c>
      <c r="R17" s="19">
        <f t="shared" si="4"/>
        <v>10217726.099177778</v>
      </c>
      <c r="S17" s="15"/>
      <c r="T17" s="21">
        <f>'[1]учительство  '!CD9</f>
        <v>0</v>
      </c>
      <c r="U17" s="251">
        <f t="shared" si="5"/>
        <v>0</v>
      </c>
      <c r="V17" s="251">
        <f t="shared" si="6"/>
        <v>0</v>
      </c>
      <c r="W17" s="251">
        <f t="shared" si="7"/>
        <v>0</v>
      </c>
      <c r="X17" s="15"/>
      <c r="Y17" s="15"/>
      <c r="Z17" s="15"/>
      <c r="AA17" s="15"/>
      <c r="AB17" s="15"/>
      <c r="AC17" s="15"/>
    </row>
    <row r="18" spans="1:29" s="14" customFormat="1" ht="12.75" x14ac:dyDescent="0.2">
      <c r="A18" s="172">
        <v>6</v>
      </c>
      <c r="B18" s="98" t="str">
        <f>'[1]учительство  '!B10</f>
        <v xml:space="preserve">МКОУ БСШ №1 </v>
      </c>
      <c r="C18" s="19">
        <f t="shared" si="0"/>
        <v>35819944.980222218</v>
      </c>
      <c r="D18" s="19">
        <f>'[1]учительство  '!AX10</f>
        <v>2549772</v>
      </c>
      <c r="E18" s="19">
        <f>'[1]учительство  '!AM10</f>
        <v>20341779</v>
      </c>
      <c r="F18" s="19">
        <f>'[1]учительство  '!BC10</f>
        <v>666720</v>
      </c>
      <c r="G18" s="19">
        <f>'[1]учительство  '!BM10</f>
        <v>3433608</v>
      </c>
      <c r="H18" s="19">
        <f t="shared" si="1"/>
        <v>26991879</v>
      </c>
      <c r="I18" s="19"/>
      <c r="J18" s="19">
        <f t="shared" si="2"/>
        <v>8151547.4579999996</v>
      </c>
      <c r="K18" s="171"/>
      <c r="L18" s="171"/>
      <c r="M18" s="12"/>
      <c r="N18" s="171">
        <f>[1]Школы!BM15</f>
        <v>676518.52222222229</v>
      </c>
      <c r="O18" s="19">
        <f>[1]Школы!BY15</f>
        <v>0</v>
      </c>
      <c r="P18" s="19">
        <f>[1]Школы!CN15</f>
        <v>0</v>
      </c>
      <c r="Q18" s="19">
        <f t="shared" si="3"/>
        <v>35819944.980222218</v>
      </c>
      <c r="R18" s="19">
        <f t="shared" si="4"/>
        <v>35819944.980222218</v>
      </c>
      <c r="S18" s="15"/>
      <c r="T18" s="21">
        <f>'[1]учительство  '!CD10</f>
        <v>0</v>
      </c>
      <c r="U18" s="251">
        <f t="shared" si="5"/>
        <v>0</v>
      </c>
      <c r="V18" s="251">
        <f t="shared" si="6"/>
        <v>0</v>
      </c>
      <c r="W18" s="251">
        <f t="shared" si="7"/>
        <v>0</v>
      </c>
      <c r="X18" s="15"/>
      <c r="Y18" s="15"/>
      <c r="Z18" s="15"/>
      <c r="AA18" s="15"/>
      <c r="AB18" s="15"/>
      <c r="AC18" s="15"/>
    </row>
    <row r="19" spans="1:29" s="14" customFormat="1" ht="12.75" x14ac:dyDescent="0.2">
      <c r="A19" s="12">
        <v>7</v>
      </c>
      <c r="B19" s="98" t="str">
        <f>'[1]учительство  '!B11</f>
        <v xml:space="preserve"> МКОУ БСШ №2</v>
      </c>
      <c r="C19" s="19">
        <f t="shared" si="0"/>
        <v>35664687.324311115</v>
      </c>
      <c r="D19" s="19">
        <f>'[1]учительство  '!AX11</f>
        <v>2310540</v>
      </c>
      <c r="E19" s="19">
        <f>'[1]учительство  '!AM11</f>
        <v>20944152.600000001</v>
      </c>
      <c r="F19" s="19">
        <f>'[1]учительство  '!BC11</f>
        <v>916740</v>
      </c>
      <c r="G19" s="19">
        <f>'[1]учительство  '!BM11</f>
        <v>2716884</v>
      </c>
      <c r="H19" s="19">
        <f t="shared" si="1"/>
        <v>26888316.600000001</v>
      </c>
      <c r="I19" s="19"/>
      <c r="J19" s="19">
        <f t="shared" si="2"/>
        <v>8120271.6132000005</v>
      </c>
      <c r="K19" s="171"/>
      <c r="L19" s="171"/>
      <c r="M19" s="12"/>
      <c r="N19" s="171">
        <f>[1]Школы!BM16</f>
        <v>656099.11111111112</v>
      </c>
      <c r="O19" s="19">
        <f>[1]Школы!BY16</f>
        <v>0</v>
      </c>
      <c r="P19" s="19">
        <f>[1]Школы!CN16</f>
        <v>0</v>
      </c>
      <c r="Q19" s="19">
        <f t="shared" si="3"/>
        <v>35664687.324311115</v>
      </c>
      <c r="R19" s="19">
        <f t="shared" si="4"/>
        <v>35664687.324311115</v>
      </c>
      <c r="S19" s="15"/>
      <c r="T19" s="21">
        <f>'[1]учительство  '!CD11</f>
        <v>0</v>
      </c>
      <c r="U19" s="251">
        <f t="shared" si="5"/>
        <v>0</v>
      </c>
      <c r="V19" s="251">
        <f t="shared" si="6"/>
        <v>0</v>
      </c>
      <c r="W19" s="251">
        <f t="shared" si="7"/>
        <v>0</v>
      </c>
      <c r="X19" s="15"/>
      <c r="Y19" s="15"/>
      <c r="Z19" s="15"/>
      <c r="AA19" s="15"/>
      <c r="AB19" s="15"/>
      <c r="AC19" s="15"/>
    </row>
    <row r="20" spans="1:29" s="14" customFormat="1" ht="12.75" x14ac:dyDescent="0.2">
      <c r="A20" s="172">
        <v>8</v>
      </c>
      <c r="B20" s="98" t="str">
        <f>'[1]учительство  '!B12</f>
        <v xml:space="preserve">МКОУ БСШ №3 </v>
      </c>
      <c r="C20" s="19">
        <f t="shared" si="0"/>
        <v>14946407.135066666</v>
      </c>
      <c r="D20" s="19">
        <f>'[1]учительство  '!AX12</f>
        <v>1172448</v>
      </c>
      <c r="E20" s="19">
        <f>'[1]учительство  '!AM12</f>
        <v>7884814.1999999993</v>
      </c>
      <c r="F20" s="19">
        <f>'[1]учительство  '!BC12</f>
        <v>500040</v>
      </c>
      <c r="G20" s="19">
        <f>'[1]учительство  '!BM12</f>
        <v>1691802</v>
      </c>
      <c r="H20" s="19">
        <f t="shared" si="1"/>
        <v>11249104.199999999</v>
      </c>
      <c r="I20" s="19"/>
      <c r="J20" s="19">
        <f t="shared" si="2"/>
        <v>3397229.4683999997</v>
      </c>
      <c r="K20" s="171"/>
      <c r="L20" s="171"/>
      <c r="M20" s="12"/>
      <c r="N20" s="171">
        <f>[1]Школы!BM17</f>
        <v>300073.46666666667</v>
      </c>
      <c r="O20" s="19">
        <f>[1]Школы!BY17</f>
        <v>0</v>
      </c>
      <c r="P20" s="19">
        <f>[1]Школы!CN17</f>
        <v>0</v>
      </c>
      <c r="Q20" s="19">
        <f t="shared" si="3"/>
        <v>14946407.135066666</v>
      </c>
      <c r="R20" s="19">
        <f t="shared" si="4"/>
        <v>14946407.135066666</v>
      </c>
      <c r="S20" s="15"/>
      <c r="T20" s="21">
        <f>'[1]учительство  '!CD12</f>
        <v>0</v>
      </c>
      <c r="U20" s="251">
        <f t="shared" si="5"/>
        <v>0</v>
      </c>
      <c r="V20" s="251">
        <f t="shared" si="6"/>
        <v>0</v>
      </c>
      <c r="W20" s="251">
        <f t="shared" si="7"/>
        <v>0</v>
      </c>
      <c r="X20" s="15"/>
      <c r="Y20" s="15"/>
      <c r="Z20" s="15"/>
      <c r="AA20" s="15"/>
      <c r="AB20" s="15"/>
      <c r="AC20" s="15"/>
    </row>
    <row r="21" spans="1:29" s="14" customFormat="1" ht="12.75" x14ac:dyDescent="0.2">
      <c r="A21" s="12">
        <v>9</v>
      </c>
      <c r="B21" s="98" t="str">
        <f>'[1]учительство  '!B13</f>
        <v xml:space="preserve">МКОУ Гагатли СОШ </v>
      </c>
      <c r="C21" s="19">
        <f t="shared" si="0"/>
        <v>22393641.135799997</v>
      </c>
      <c r="D21" s="19">
        <f>'[1]учительство  '!AX13</f>
        <v>1927142.4000000001</v>
      </c>
      <c r="E21" s="19">
        <f>'[1]учительство  '!AM13</f>
        <v>12561181.399999999</v>
      </c>
      <c r="F21" s="19">
        <f>'[1]учительство  '!BC13</f>
        <v>479205</v>
      </c>
      <c r="G21" s="19">
        <f>'[1]учительство  '!BM13</f>
        <v>1926404.0999999999</v>
      </c>
      <c r="H21" s="19">
        <f t="shared" si="1"/>
        <v>16893932.899999999</v>
      </c>
      <c r="I21" s="19"/>
      <c r="J21" s="19">
        <f t="shared" si="2"/>
        <v>5101967.735799999</v>
      </c>
      <c r="K21" s="171"/>
      <c r="L21" s="171"/>
      <c r="M21" s="12"/>
      <c r="N21" s="171">
        <f>[1]Школы!BM18</f>
        <v>397740.5</v>
      </c>
      <c r="O21" s="19">
        <f>[1]Школы!BY18</f>
        <v>0</v>
      </c>
      <c r="P21" s="19">
        <f>[1]Школы!CN18</f>
        <v>0</v>
      </c>
      <c r="Q21" s="19">
        <f t="shared" si="3"/>
        <v>22393641.135799997</v>
      </c>
      <c r="R21" s="19">
        <f t="shared" si="4"/>
        <v>22393641.135799997</v>
      </c>
      <c r="S21" s="15"/>
      <c r="T21" s="21">
        <f>'[1]учительство  '!CD13</f>
        <v>0</v>
      </c>
      <c r="U21" s="251">
        <f t="shared" si="5"/>
        <v>0</v>
      </c>
      <c r="V21" s="251">
        <f t="shared" si="6"/>
        <v>0</v>
      </c>
      <c r="W21" s="251">
        <f t="shared" si="7"/>
        <v>0</v>
      </c>
      <c r="X21" s="15"/>
      <c r="Y21" s="15"/>
      <c r="Z21" s="15"/>
      <c r="AA21" s="15"/>
      <c r="AB21" s="15"/>
      <c r="AC21" s="15"/>
    </row>
    <row r="22" spans="1:29" s="14" customFormat="1" ht="12.75" x14ac:dyDescent="0.2">
      <c r="A22" s="172">
        <v>10</v>
      </c>
      <c r="B22" s="98" t="str">
        <f>'[1]учительство  '!B14</f>
        <v xml:space="preserve"> МКОУ Годобери СОШ  </v>
      </c>
      <c r="C22" s="19">
        <f t="shared" si="0"/>
        <v>30926368.722377773</v>
      </c>
      <c r="D22" s="19">
        <f>'[1]учительство  '!AX14</f>
        <v>2714722.2</v>
      </c>
      <c r="E22" s="19">
        <f>'[1]учительство  '!AM14</f>
        <v>15462093.399999999</v>
      </c>
      <c r="F22" s="19">
        <f>'[1]учительство  '!BC14</f>
        <v>670887</v>
      </c>
      <c r="G22" s="19">
        <f>'[1]учительство  '!BM14</f>
        <v>4475774.6999999993</v>
      </c>
      <c r="H22" s="19">
        <f t="shared" si="1"/>
        <v>23323477.299999997</v>
      </c>
      <c r="I22" s="19"/>
      <c r="J22" s="19">
        <f t="shared" si="2"/>
        <v>7043690.1445999993</v>
      </c>
      <c r="K22" s="171"/>
      <c r="L22" s="171"/>
      <c r="M22" s="12"/>
      <c r="N22" s="171">
        <f>[1]Школы!BM19</f>
        <v>559201.27777777775</v>
      </c>
      <c r="O22" s="19">
        <f>[1]Школы!BY19</f>
        <v>0</v>
      </c>
      <c r="P22" s="19">
        <f>[1]Школы!CN19</f>
        <v>0</v>
      </c>
      <c r="Q22" s="19">
        <f t="shared" si="3"/>
        <v>30926368.722377773</v>
      </c>
      <c r="R22" s="19">
        <f t="shared" si="4"/>
        <v>30926368.722377773</v>
      </c>
      <c r="S22" s="15"/>
      <c r="T22" s="21">
        <f>'[1]учительство  '!CD14</f>
        <v>0</v>
      </c>
      <c r="U22" s="251">
        <f t="shared" si="5"/>
        <v>0</v>
      </c>
      <c r="V22" s="251">
        <f t="shared" si="6"/>
        <v>0</v>
      </c>
      <c r="W22" s="251">
        <f t="shared" si="7"/>
        <v>0</v>
      </c>
      <c r="X22" s="15"/>
      <c r="Y22" s="15"/>
      <c r="Z22" s="15"/>
      <c r="AA22" s="15"/>
      <c r="AB22" s="15"/>
      <c r="AC22" s="15"/>
    </row>
    <row r="23" spans="1:29" s="14" customFormat="1" ht="12.75" x14ac:dyDescent="0.2">
      <c r="A23" s="12">
        <v>11</v>
      </c>
      <c r="B23" s="98" t="str">
        <f>'[1]учительство  '!B15</f>
        <v xml:space="preserve"> МКОУ Зило СОШ  </v>
      </c>
      <c r="C23" s="19">
        <f t="shared" si="0"/>
        <v>13536780.381844446</v>
      </c>
      <c r="D23" s="19">
        <f>'[1]учительство  '!AX15</f>
        <v>1344230.3999999999</v>
      </c>
      <c r="E23" s="19">
        <f>'[1]учительство  '!AM15</f>
        <v>6112114.8000000007</v>
      </c>
      <c r="F23" s="19">
        <f>'[1]учительство  '!BC15</f>
        <v>412116.30000000005</v>
      </c>
      <c r="G23" s="19">
        <f>'[1]учительство  '!BM15</f>
        <v>2319352.2000000002</v>
      </c>
      <c r="H23" s="19">
        <f t="shared" si="1"/>
        <v>10187813.700000001</v>
      </c>
      <c r="I23" s="19"/>
      <c r="J23" s="19">
        <f t="shared" si="2"/>
        <v>3076719.7374000004</v>
      </c>
      <c r="K23" s="171"/>
      <c r="L23" s="171"/>
      <c r="M23" s="12"/>
      <c r="N23" s="171">
        <f>[1]Школы!BM20</f>
        <v>272246.94444444444</v>
      </c>
      <c r="O23" s="19">
        <f>[1]Школы!BY20</f>
        <v>0</v>
      </c>
      <c r="P23" s="19">
        <f>[1]Школы!CN20</f>
        <v>0</v>
      </c>
      <c r="Q23" s="19">
        <f t="shared" si="3"/>
        <v>13536780.381844446</v>
      </c>
      <c r="R23" s="19">
        <f t="shared" si="4"/>
        <v>13536780.381844446</v>
      </c>
      <c r="S23" s="15"/>
      <c r="T23" s="21">
        <f>'[1]учительство  '!CD15</f>
        <v>0</v>
      </c>
      <c r="U23" s="251">
        <f t="shared" si="5"/>
        <v>0</v>
      </c>
      <c r="V23" s="251">
        <f t="shared" si="6"/>
        <v>0</v>
      </c>
      <c r="W23" s="251">
        <f t="shared" si="7"/>
        <v>0</v>
      </c>
      <c r="X23" s="15"/>
      <c r="Y23" s="15"/>
      <c r="Z23" s="15"/>
      <c r="AA23" s="15"/>
      <c r="AB23" s="15"/>
      <c r="AC23" s="15"/>
    </row>
    <row r="24" spans="1:29" s="14" customFormat="1" ht="12.75" x14ac:dyDescent="0.2">
      <c r="A24" s="172">
        <v>12</v>
      </c>
      <c r="B24" s="98" t="str">
        <f>'[1]учительство  '!B16</f>
        <v xml:space="preserve"> МКОУ Кванхидатли ООШ  </v>
      </c>
      <c r="C24" s="19">
        <f t="shared" si="0"/>
        <v>10057592.390888888</v>
      </c>
      <c r="D24" s="19">
        <f>'[1]учительство  '!AX16</f>
        <v>577848</v>
      </c>
      <c r="E24" s="19">
        <f>'[1]учительство  '!AM16</f>
        <v>5305219</v>
      </c>
      <c r="F24" s="19">
        <f>'[1]учительство  '!BC16</f>
        <v>166680</v>
      </c>
      <c r="G24" s="19">
        <f>'[1]учительство  '!BM16</f>
        <v>1508454.0000000002</v>
      </c>
      <c r="H24" s="19">
        <f t="shared" si="1"/>
        <v>7558201</v>
      </c>
      <c r="I24" s="19"/>
      <c r="J24" s="19">
        <f t="shared" si="2"/>
        <v>2282576.702</v>
      </c>
      <c r="K24" s="171"/>
      <c r="L24" s="171"/>
      <c r="M24" s="12"/>
      <c r="N24" s="171">
        <f>[1]Школы!BM21</f>
        <v>216814.68888888884</v>
      </c>
      <c r="O24" s="19">
        <f>[1]Школы!BY21</f>
        <v>0</v>
      </c>
      <c r="P24" s="19">
        <f>[1]Школы!CN21</f>
        <v>0</v>
      </c>
      <c r="Q24" s="19">
        <f t="shared" si="3"/>
        <v>10057592.390888888</v>
      </c>
      <c r="R24" s="19">
        <f t="shared" si="4"/>
        <v>10057592.390888888</v>
      </c>
      <c r="S24" s="15"/>
      <c r="T24" s="21">
        <f>'[1]учительство  '!CD16</f>
        <v>0</v>
      </c>
      <c r="U24" s="251">
        <f t="shared" si="5"/>
        <v>0</v>
      </c>
      <c r="V24" s="251">
        <f t="shared" si="6"/>
        <v>0</v>
      </c>
      <c r="W24" s="251">
        <f t="shared" si="7"/>
        <v>0</v>
      </c>
      <c r="X24" s="15"/>
      <c r="Y24" s="15"/>
      <c r="Z24" s="15"/>
      <c r="AA24" s="15"/>
      <c r="AB24" s="15"/>
      <c r="AC24" s="15"/>
    </row>
    <row r="25" spans="1:29" s="14" customFormat="1" ht="12.75" x14ac:dyDescent="0.2">
      <c r="A25" s="12">
        <v>13</v>
      </c>
      <c r="B25" s="98" t="str">
        <f>'[1]учительство  '!B17</f>
        <v xml:space="preserve"> МКОУ Миарсо СОШ  </v>
      </c>
      <c r="C25" s="19">
        <f t="shared" si="0"/>
        <v>19426505.276666667</v>
      </c>
      <c r="D25" s="19">
        <f>'[1]учительство  '!AX17</f>
        <v>1489896</v>
      </c>
      <c r="E25" s="19">
        <f>'[1]учительство  '!AM17</f>
        <v>10045079</v>
      </c>
      <c r="F25" s="19">
        <f>'[1]учительство  '!BC17</f>
        <v>500040</v>
      </c>
      <c r="G25" s="19">
        <f>'[1]учительство  '!BM17</f>
        <v>2583540</v>
      </c>
      <c r="H25" s="19">
        <f t="shared" si="1"/>
        <v>14618555</v>
      </c>
      <c r="I25" s="19"/>
      <c r="J25" s="19">
        <f t="shared" si="2"/>
        <v>4414803.6099999994</v>
      </c>
      <c r="K25" s="171"/>
      <c r="L25" s="171"/>
      <c r="M25" s="12"/>
      <c r="N25" s="171">
        <f>[1]Школы!BM22</f>
        <v>393146.66666666669</v>
      </c>
      <c r="O25" s="19">
        <f>[1]Школы!BY22</f>
        <v>0</v>
      </c>
      <c r="P25" s="19">
        <f>[1]Школы!CN22</f>
        <v>0</v>
      </c>
      <c r="Q25" s="19">
        <f t="shared" si="3"/>
        <v>19426505.276666667</v>
      </c>
      <c r="R25" s="19">
        <f t="shared" si="4"/>
        <v>19426505.276666667</v>
      </c>
      <c r="S25" s="15"/>
      <c r="T25" s="21">
        <f>'[1]учительство  '!CD17</f>
        <v>0</v>
      </c>
      <c r="U25" s="251">
        <f t="shared" si="5"/>
        <v>0</v>
      </c>
      <c r="V25" s="251">
        <f t="shared" si="6"/>
        <v>0</v>
      </c>
      <c r="W25" s="251">
        <f t="shared" si="7"/>
        <v>0</v>
      </c>
      <c r="X25" s="15"/>
      <c r="Y25" s="15"/>
      <c r="Z25" s="15"/>
      <c r="AA25" s="15"/>
      <c r="AB25" s="15"/>
      <c r="AC25" s="15"/>
    </row>
    <row r="26" spans="1:29" s="14" customFormat="1" ht="12.75" x14ac:dyDescent="0.2">
      <c r="A26" s="172">
        <v>14</v>
      </c>
      <c r="B26" s="98" t="str">
        <f>'[1]учительство  '!B18</f>
        <v xml:space="preserve"> МКОУ Муни СОШ  </v>
      </c>
      <c r="C26" s="19">
        <f t="shared" si="0"/>
        <v>26710329.522444446</v>
      </c>
      <c r="D26" s="19">
        <f>'[1]учительство  '!AX18</f>
        <v>1791348</v>
      </c>
      <c r="E26" s="19">
        <f>'[1]учительство  '!AM18</f>
        <v>15708297</v>
      </c>
      <c r="F26" s="19">
        <f>'[1]учительство  '!BC18</f>
        <v>416700</v>
      </c>
      <c r="G26" s="19">
        <f>'[1]учительство  '!BM18</f>
        <v>2216844</v>
      </c>
      <c r="H26" s="19">
        <f t="shared" si="1"/>
        <v>20133189</v>
      </c>
      <c r="I26" s="19"/>
      <c r="J26" s="19">
        <f t="shared" si="2"/>
        <v>6080223.0779999997</v>
      </c>
      <c r="K26" s="171"/>
      <c r="L26" s="171"/>
      <c r="M26" s="12"/>
      <c r="N26" s="171">
        <f>[1]Школы!BM23</f>
        <v>496917.44444444444</v>
      </c>
      <c r="O26" s="19">
        <f>[1]Школы!BY23</f>
        <v>0</v>
      </c>
      <c r="P26" s="19">
        <f>[1]Школы!CN23</f>
        <v>0</v>
      </c>
      <c r="Q26" s="19">
        <f t="shared" si="3"/>
        <v>26710329.522444446</v>
      </c>
      <c r="R26" s="19">
        <f t="shared" si="4"/>
        <v>26710329.522444446</v>
      </c>
      <c r="S26" s="15"/>
      <c r="T26" s="21">
        <f>'[1]учительство  '!CD18</f>
        <v>0</v>
      </c>
      <c r="U26" s="251">
        <f t="shared" si="5"/>
        <v>0</v>
      </c>
      <c r="V26" s="251">
        <f t="shared" si="6"/>
        <v>0</v>
      </c>
      <c r="W26" s="251">
        <f t="shared" si="7"/>
        <v>0</v>
      </c>
      <c r="X26" s="15"/>
      <c r="Y26" s="15"/>
      <c r="Z26" s="15"/>
      <c r="AA26" s="15"/>
      <c r="AB26" s="15"/>
      <c r="AC26" s="15"/>
    </row>
    <row r="27" spans="1:29" s="14" customFormat="1" ht="12.75" x14ac:dyDescent="0.2">
      <c r="A27" s="12">
        <v>15</v>
      </c>
      <c r="B27" s="98" t="str">
        <f>'[1]учительство  '!B19</f>
        <v xml:space="preserve"> МКОУ Ортоколо СОШ  </v>
      </c>
      <c r="C27" s="19">
        <f t="shared" si="0"/>
        <v>12091054.853111111</v>
      </c>
      <c r="D27" s="19">
        <f>'[1]учительство  '!AX19</f>
        <v>1144332</v>
      </c>
      <c r="E27" s="19">
        <f>'[1]учительство  '!AM19</f>
        <v>6369365</v>
      </c>
      <c r="F27" s="19">
        <f>'[1]учительство  '!BC19</f>
        <v>441702</v>
      </c>
      <c r="G27" s="19">
        <f>'[1]учительство  '!BM19</f>
        <v>1108422</v>
      </c>
      <c r="H27" s="19">
        <f t="shared" si="1"/>
        <v>9063821</v>
      </c>
      <c r="I27" s="19"/>
      <c r="J27" s="19">
        <f t="shared" si="2"/>
        <v>2737273.9419999998</v>
      </c>
      <c r="K27" s="171"/>
      <c r="L27" s="171"/>
      <c r="M27" s="12"/>
      <c r="N27" s="171">
        <f>[1]Школы!BM24</f>
        <v>289959.91111111105</v>
      </c>
      <c r="O27" s="19">
        <f>[1]Школы!BY24</f>
        <v>0</v>
      </c>
      <c r="P27" s="19">
        <f>[1]Школы!CN24</f>
        <v>0</v>
      </c>
      <c r="Q27" s="19">
        <f t="shared" si="3"/>
        <v>12091054.853111111</v>
      </c>
      <c r="R27" s="19">
        <f t="shared" si="4"/>
        <v>12091054.853111111</v>
      </c>
      <c r="S27" s="15"/>
      <c r="T27" s="21">
        <f>'[1]учительство  '!CD19</f>
        <v>0</v>
      </c>
      <c r="U27" s="251">
        <f t="shared" si="5"/>
        <v>0</v>
      </c>
      <c r="V27" s="251">
        <f t="shared" si="6"/>
        <v>0</v>
      </c>
      <c r="W27" s="251">
        <f t="shared" si="7"/>
        <v>0</v>
      </c>
      <c r="X27" s="15"/>
      <c r="Y27" s="15"/>
      <c r="Z27" s="15"/>
      <c r="AA27" s="15"/>
      <c r="AB27" s="15"/>
      <c r="AC27" s="15"/>
    </row>
    <row r="28" spans="1:29" s="14" customFormat="1" ht="12.75" x14ac:dyDescent="0.2">
      <c r="A28" s="172">
        <v>16</v>
      </c>
      <c r="B28" s="98" t="str">
        <f>'[1]учительство  '!B20</f>
        <v xml:space="preserve"> МКОУ Рахата СОШ  </v>
      </c>
      <c r="C28" s="19">
        <f t="shared" si="0"/>
        <v>24356114.965555556</v>
      </c>
      <c r="D28" s="19">
        <f>'[1]учительство  '!AX20</f>
        <v>2198424</v>
      </c>
      <c r="E28" s="19">
        <f>'[1]учительство  '!AM20</f>
        <v>13230467</v>
      </c>
      <c r="F28" s="19">
        <f>'[1]учительство  '!BC20</f>
        <v>666720</v>
      </c>
      <c r="G28" s="19">
        <f>'[1]учительство  '!BM20</f>
        <v>2216844</v>
      </c>
      <c r="H28" s="19">
        <f t="shared" si="1"/>
        <v>18312455</v>
      </c>
      <c r="I28" s="19"/>
      <c r="J28" s="19">
        <f t="shared" si="2"/>
        <v>5530361.4100000001</v>
      </c>
      <c r="K28" s="171"/>
      <c r="L28" s="171"/>
      <c r="M28" s="12"/>
      <c r="N28" s="171">
        <f>[1]Школы!BM25</f>
        <v>513298.5555555555</v>
      </c>
      <c r="O28" s="19">
        <f>[1]Школы!BY25</f>
        <v>0</v>
      </c>
      <c r="P28" s="19">
        <f>[1]Школы!CN25</f>
        <v>0</v>
      </c>
      <c r="Q28" s="19">
        <f t="shared" si="3"/>
        <v>24356114.965555556</v>
      </c>
      <c r="R28" s="19">
        <f t="shared" si="4"/>
        <v>24356114.965555556</v>
      </c>
      <c r="S28" s="15"/>
      <c r="T28" s="21">
        <f>'[1]учительство  '!CD20</f>
        <v>0</v>
      </c>
      <c r="U28" s="251">
        <f t="shared" si="5"/>
        <v>0</v>
      </c>
      <c r="V28" s="251">
        <f t="shared" si="6"/>
        <v>0</v>
      </c>
      <c r="W28" s="251">
        <f t="shared" si="7"/>
        <v>0</v>
      </c>
      <c r="X28" s="15"/>
      <c r="Y28" s="252" t="s">
        <v>0</v>
      </c>
      <c r="Z28" s="15"/>
      <c r="AA28" s="15"/>
      <c r="AB28" s="15"/>
      <c r="AC28" s="15"/>
    </row>
    <row r="29" spans="1:29" s="14" customFormat="1" ht="12.75" x14ac:dyDescent="0.2">
      <c r="A29" s="12">
        <v>17</v>
      </c>
      <c r="B29" s="98" t="str">
        <f>'[1]учительство  '!B21</f>
        <v xml:space="preserve"> МКОУ Риквани СОШ  </v>
      </c>
      <c r="C29" s="19">
        <f t="shared" si="0"/>
        <v>12151347.287133334</v>
      </c>
      <c r="D29" s="19">
        <f>'[1]учительство  '!AX21</f>
        <v>1089717</v>
      </c>
      <c r="E29" s="19">
        <f>'[1]учительство  '!AM21</f>
        <v>5853347.8000000007</v>
      </c>
      <c r="F29" s="19">
        <f>'[1]учительство  '!BC21</f>
        <v>507957.30000000005</v>
      </c>
      <c r="G29" s="19">
        <f>'[1]учительство  '!BM21</f>
        <v>1705969.7999999998</v>
      </c>
      <c r="H29" s="19">
        <f t="shared" si="1"/>
        <v>9156991.9000000004</v>
      </c>
      <c r="I29" s="19"/>
      <c r="J29" s="19">
        <f t="shared" si="2"/>
        <v>2765411.5537999999</v>
      </c>
      <c r="K29" s="171"/>
      <c r="L29" s="171"/>
      <c r="M29" s="12"/>
      <c r="N29" s="171">
        <f>[1]Школы!BM26</f>
        <v>228943.83333333334</v>
      </c>
      <c r="O29" s="19">
        <f>[1]Школы!BY26</f>
        <v>0</v>
      </c>
      <c r="P29" s="19">
        <f>[1]Школы!CN26</f>
        <v>0</v>
      </c>
      <c r="Q29" s="19">
        <f t="shared" si="3"/>
        <v>12151347.287133334</v>
      </c>
      <c r="R29" s="19">
        <f t="shared" si="4"/>
        <v>12151347.287133334</v>
      </c>
      <c r="S29" s="15"/>
      <c r="T29" s="21">
        <f>'[1]учительство  '!CD21</f>
        <v>0</v>
      </c>
      <c r="U29" s="251">
        <f t="shared" si="5"/>
        <v>0</v>
      </c>
      <c r="V29" s="251">
        <f t="shared" si="6"/>
        <v>0</v>
      </c>
      <c r="W29" s="251">
        <f t="shared" si="7"/>
        <v>0</v>
      </c>
      <c r="X29" s="15"/>
      <c r="Y29" s="15"/>
      <c r="Z29" s="15"/>
      <c r="AA29" s="15"/>
      <c r="AB29" s="15"/>
      <c r="AC29" s="15"/>
    </row>
    <row r="30" spans="1:29" s="14" customFormat="1" ht="12.75" x14ac:dyDescent="0.2">
      <c r="A30" s="172">
        <v>18</v>
      </c>
      <c r="B30" s="98" t="str">
        <f>'[1]учительство  '!B22</f>
        <v xml:space="preserve"> МКОУ Тандо СОШ  </v>
      </c>
      <c r="C30" s="19">
        <f t="shared" si="0"/>
        <v>13723423.625111111</v>
      </c>
      <c r="D30" s="19">
        <f>'[1]учительство  '!AX22</f>
        <v>1086552</v>
      </c>
      <c r="E30" s="19">
        <f>'[1]учительство  '!AM22</f>
        <v>7488781</v>
      </c>
      <c r="F30" s="19">
        <f>'[1]учительство  '!BC22</f>
        <v>358362</v>
      </c>
      <c r="G30" s="19">
        <f>'[1]учительство  '!BM22</f>
        <v>1400112</v>
      </c>
      <c r="H30" s="19">
        <f t="shared" si="1"/>
        <v>10333807</v>
      </c>
      <c r="I30" s="19"/>
      <c r="J30" s="19">
        <f t="shared" si="2"/>
        <v>3120809.7139999997</v>
      </c>
      <c r="K30" s="171"/>
      <c r="L30" s="171"/>
      <c r="M30" s="12"/>
      <c r="N30" s="171">
        <f>[1]Школы!BM27</f>
        <v>268806.91111111111</v>
      </c>
      <c r="O30" s="19">
        <f>[1]Школы!BY27</f>
        <v>0</v>
      </c>
      <c r="P30" s="19">
        <f>[1]Школы!CN27</f>
        <v>0</v>
      </c>
      <c r="Q30" s="19">
        <f t="shared" si="3"/>
        <v>13723423.625111111</v>
      </c>
      <c r="R30" s="19">
        <f t="shared" si="4"/>
        <v>13723423.625111111</v>
      </c>
      <c r="S30" s="15"/>
      <c r="T30" s="21">
        <f>'[1]учительство  '!CD22</f>
        <v>0</v>
      </c>
      <c r="U30" s="251">
        <f t="shared" si="5"/>
        <v>0</v>
      </c>
      <c r="V30" s="251">
        <f t="shared" si="6"/>
        <v>0</v>
      </c>
      <c r="W30" s="251">
        <f t="shared" si="7"/>
        <v>0</v>
      </c>
      <c r="X30" s="15"/>
      <c r="Y30" s="15"/>
      <c r="Z30" s="15"/>
      <c r="AA30" s="15"/>
      <c r="AB30" s="15"/>
      <c r="AC30" s="15"/>
    </row>
    <row r="31" spans="1:29" s="14" customFormat="1" ht="12.75" x14ac:dyDescent="0.2">
      <c r="A31" s="12">
        <v>19</v>
      </c>
      <c r="B31" s="98" t="str">
        <f>'[1]учительство  '!B23</f>
        <v xml:space="preserve"> МКОУ Тасута ООШ  </v>
      </c>
      <c r="C31" s="19">
        <f t="shared" si="0"/>
        <v>10393809.372217776</v>
      </c>
      <c r="D31" s="19">
        <f>'[1]учительство  '!AX23</f>
        <v>688978.8</v>
      </c>
      <c r="E31" s="19">
        <f>'[1]учительство  '!AM23</f>
        <v>5878806.0199999996</v>
      </c>
      <c r="F31" s="19">
        <f>'[1]учительство  '!BC23</f>
        <v>220434.3</v>
      </c>
      <c r="G31" s="19">
        <f>'[1]учительство  '!BM23</f>
        <v>1063835.1000000001</v>
      </c>
      <c r="H31" s="19">
        <f t="shared" si="1"/>
        <v>7852054.2199999988</v>
      </c>
      <c r="I31" s="19"/>
      <c r="J31" s="19">
        <f t="shared" si="2"/>
        <v>2371320.3744399995</v>
      </c>
      <c r="K31" s="171"/>
      <c r="L31" s="171"/>
      <c r="M31" s="12"/>
      <c r="N31" s="171">
        <f>[1]Школы!BM28</f>
        <v>170434.77777777778</v>
      </c>
      <c r="O31" s="19">
        <f>[1]Школы!BY28</f>
        <v>0</v>
      </c>
      <c r="P31" s="19">
        <f>[1]Школы!CN28</f>
        <v>0</v>
      </c>
      <c r="Q31" s="19">
        <f t="shared" si="3"/>
        <v>10393809.372217776</v>
      </c>
      <c r="R31" s="19">
        <f t="shared" si="4"/>
        <v>10393809.372217776</v>
      </c>
      <c r="S31" s="15"/>
      <c r="T31" s="21">
        <f>'[1]учительство  '!CD23</f>
        <v>0</v>
      </c>
      <c r="U31" s="251">
        <f t="shared" si="5"/>
        <v>0</v>
      </c>
      <c r="V31" s="251">
        <f t="shared" si="6"/>
        <v>0</v>
      </c>
      <c r="W31" s="251">
        <f t="shared" si="7"/>
        <v>0</v>
      </c>
      <c r="X31" s="15"/>
      <c r="Y31" s="15"/>
      <c r="Z31" s="15"/>
      <c r="AA31" s="15"/>
      <c r="AB31" s="15"/>
      <c r="AC31" s="15"/>
    </row>
    <row r="32" spans="1:29" s="14" customFormat="1" ht="12.75" x14ac:dyDescent="0.2">
      <c r="A32" s="172">
        <v>20</v>
      </c>
      <c r="B32" s="98" t="str">
        <f>'[1]учительство  '!B24</f>
        <v xml:space="preserve"> МКОУ Тлох СОШ  </v>
      </c>
      <c r="C32" s="19">
        <f t="shared" si="0"/>
        <v>29735017.636222221</v>
      </c>
      <c r="D32" s="19">
        <f>'[1]учительство  '!AX24</f>
        <v>2001792</v>
      </c>
      <c r="E32" s="19">
        <f>'[1]учительство  '!AM24</f>
        <v>17195711</v>
      </c>
      <c r="F32" s="19">
        <f>'[1]учительство  '!BC24</f>
        <v>416700</v>
      </c>
      <c r="G32" s="19">
        <f>'[1]учительство  '!BM24</f>
        <v>2758554</v>
      </c>
      <c r="H32" s="19">
        <f t="shared" si="1"/>
        <v>22372757</v>
      </c>
      <c r="I32" s="19"/>
      <c r="J32" s="19">
        <f t="shared" si="2"/>
        <v>6756572.6140000001</v>
      </c>
      <c r="K32" s="171"/>
      <c r="L32" s="171"/>
      <c r="M32" s="12"/>
      <c r="N32" s="171">
        <f>[1]Школы!BM29</f>
        <v>605688.02222222218</v>
      </c>
      <c r="O32" s="19">
        <f>[1]Школы!BY29</f>
        <v>0</v>
      </c>
      <c r="P32" s="19">
        <f>[1]Школы!CN29</f>
        <v>0</v>
      </c>
      <c r="Q32" s="19">
        <f t="shared" si="3"/>
        <v>29735017.636222221</v>
      </c>
      <c r="R32" s="19">
        <f t="shared" si="4"/>
        <v>29735017.636222221</v>
      </c>
      <c r="S32" s="15"/>
      <c r="T32" s="21">
        <f>'[1]учительство  '!CD24</f>
        <v>0</v>
      </c>
      <c r="U32" s="251">
        <f t="shared" si="5"/>
        <v>0</v>
      </c>
      <c r="V32" s="251">
        <f t="shared" si="6"/>
        <v>0</v>
      </c>
      <c r="W32" s="251">
        <f t="shared" si="7"/>
        <v>0</v>
      </c>
      <c r="X32" s="15"/>
      <c r="Y32" s="15"/>
      <c r="Z32" s="15"/>
      <c r="AA32" s="15"/>
      <c r="AB32" s="15"/>
      <c r="AC32" s="15"/>
    </row>
    <row r="33" spans="1:29" s="14" customFormat="1" ht="12.75" x14ac:dyDescent="0.2">
      <c r="A33" s="12">
        <v>21</v>
      </c>
      <c r="B33" s="98" t="str">
        <f>'[1]учительство  '!B25</f>
        <v xml:space="preserve"> МКОУ Хелетури СОШ  </v>
      </c>
      <c r="C33" s="19">
        <f t="shared" si="0"/>
        <v>13372671.108622223</v>
      </c>
      <c r="D33" s="19">
        <f>'[1]учительство  '!AX25</f>
        <v>1073833.2000000002</v>
      </c>
      <c r="E33" s="19">
        <f>'[1]учительство  '!AM25</f>
        <v>6490495.8000000007</v>
      </c>
      <c r="F33" s="19">
        <f>'[1]учительство  '!BC25</f>
        <v>412116.30000000005</v>
      </c>
      <c r="G33" s="19">
        <f>'[1]учительство  '!BM25</f>
        <v>2098917.9000000004</v>
      </c>
      <c r="H33" s="19">
        <f t="shared" si="1"/>
        <v>10075363.200000001</v>
      </c>
      <c r="I33" s="19"/>
      <c r="J33" s="19">
        <f t="shared" si="2"/>
        <v>3042759.6864000005</v>
      </c>
      <c r="K33" s="171"/>
      <c r="L33" s="171"/>
      <c r="M33" s="12"/>
      <c r="N33" s="171">
        <f>[1]Школы!BM30</f>
        <v>254548.22222222222</v>
      </c>
      <c r="O33" s="19">
        <f>[1]Школы!BY30</f>
        <v>0</v>
      </c>
      <c r="P33" s="19">
        <f>[1]Школы!CN30</f>
        <v>0</v>
      </c>
      <c r="Q33" s="19">
        <f t="shared" si="3"/>
        <v>13372671.108622223</v>
      </c>
      <c r="R33" s="19">
        <f t="shared" si="4"/>
        <v>13372671.108622223</v>
      </c>
      <c r="S33" s="15"/>
      <c r="T33" s="21">
        <f>'[1]учительство  '!CD25</f>
        <v>0</v>
      </c>
      <c r="U33" s="251">
        <f t="shared" si="5"/>
        <v>0</v>
      </c>
      <c r="V33" s="251">
        <f t="shared" si="6"/>
        <v>0</v>
      </c>
      <c r="W33" s="251">
        <f t="shared" si="7"/>
        <v>0</v>
      </c>
      <c r="X33" s="15"/>
      <c r="Y33" s="15"/>
      <c r="Z33" s="15"/>
      <c r="AA33" s="15"/>
      <c r="AB33" s="15"/>
      <c r="AC33" s="15"/>
    </row>
    <row r="34" spans="1:29" s="14" customFormat="1" ht="12.75" x14ac:dyDescent="0.2">
      <c r="A34" s="172">
        <v>22</v>
      </c>
      <c r="B34" s="98" t="str">
        <f>'[1]учительство  '!B26</f>
        <v xml:space="preserve"> МКОУ Чанко СОШ  </v>
      </c>
      <c r="C34" s="19">
        <f t="shared" si="0"/>
        <v>13551584.50408889</v>
      </c>
      <c r="D34" s="19">
        <f>'[1]учительство  '!AX26</f>
        <v>1208838.6000000001</v>
      </c>
      <c r="E34" s="19">
        <f>'[1]учительство  '!AM26</f>
        <v>7179381.8000000007</v>
      </c>
      <c r="F34" s="19">
        <f>'[1]учительство  '!BC26</f>
        <v>507957.30000000005</v>
      </c>
      <c r="G34" s="19">
        <f>'[1]учительство  '!BM26</f>
        <v>1332189.8999999999</v>
      </c>
      <c r="H34" s="19">
        <f t="shared" si="1"/>
        <v>10228367.600000001</v>
      </c>
      <c r="I34" s="19"/>
      <c r="J34" s="19">
        <f t="shared" si="2"/>
        <v>3088967.0152000003</v>
      </c>
      <c r="K34" s="171"/>
      <c r="L34" s="171"/>
      <c r="M34" s="12"/>
      <c r="N34" s="171">
        <f>[1]Школы!BM31</f>
        <v>234249.88888888888</v>
      </c>
      <c r="O34" s="19">
        <f>[1]Школы!BY31</f>
        <v>0</v>
      </c>
      <c r="P34" s="19">
        <f>[1]Школы!CN31</f>
        <v>0</v>
      </c>
      <c r="Q34" s="19">
        <f t="shared" si="3"/>
        <v>13551584.50408889</v>
      </c>
      <c r="R34" s="19">
        <f t="shared" si="4"/>
        <v>13551584.50408889</v>
      </c>
      <c r="S34" s="15"/>
      <c r="T34" s="21">
        <f>'[1]учительство  '!CD26</f>
        <v>0</v>
      </c>
      <c r="U34" s="251">
        <f t="shared" si="5"/>
        <v>0</v>
      </c>
      <c r="V34" s="251">
        <f t="shared" si="6"/>
        <v>0</v>
      </c>
      <c r="W34" s="251">
        <f t="shared" si="7"/>
        <v>0</v>
      </c>
      <c r="X34" s="15"/>
      <c r="Y34" s="15"/>
      <c r="Z34" s="15"/>
      <c r="AA34" s="15"/>
      <c r="AB34" s="15"/>
      <c r="AC34" s="15"/>
    </row>
    <row r="35" spans="1:29" s="14" customFormat="1" ht="12.75" x14ac:dyDescent="0.2">
      <c r="A35" s="12">
        <v>23</v>
      </c>
      <c r="B35" s="98" t="str">
        <f>'[1]учительство  '!B27</f>
        <v xml:space="preserve"> МКОУ Шодрода СОШ  </v>
      </c>
      <c r="C35" s="19">
        <f t="shared" si="0"/>
        <v>10126657.584222222</v>
      </c>
      <c r="D35" s="19">
        <f>'[1]учительство  '!AX27</f>
        <v>1084920</v>
      </c>
      <c r="E35" s="19">
        <f>'[1]учительство  '!AM27</f>
        <v>4920567</v>
      </c>
      <c r="F35" s="19">
        <f>'[1]учительство  '!BC27</f>
        <v>441702</v>
      </c>
      <c r="G35" s="19">
        <f>'[1]учительство  '!BM27</f>
        <v>1150092</v>
      </c>
      <c r="H35" s="19">
        <f t="shared" si="1"/>
        <v>7597281</v>
      </c>
      <c r="I35" s="19"/>
      <c r="J35" s="19">
        <f t="shared" si="2"/>
        <v>2294378.8619999997</v>
      </c>
      <c r="K35" s="171"/>
      <c r="L35" s="171"/>
      <c r="M35" s="12"/>
      <c r="N35" s="171">
        <f>[1]Школы!BM32</f>
        <v>234997.72222222222</v>
      </c>
      <c r="O35" s="19">
        <f>[1]Школы!BY32</f>
        <v>0</v>
      </c>
      <c r="P35" s="19">
        <f>[1]Школы!CN32</f>
        <v>0</v>
      </c>
      <c r="Q35" s="19">
        <f t="shared" si="3"/>
        <v>10126657.584222222</v>
      </c>
      <c r="R35" s="19">
        <f t="shared" si="4"/>
        <v>10126657.584222222</v>
      </c>
      <c r="S35" s="15"/>
      <c r="T35" s="21">
        <f>'[1]учительство  '!CD27</f>
        <v>0</v>
      </c>
      <c r="U35" s="251">
        <f t="shared" si="5"/>
        <v>0</v>
      </c>
      <c r="V35" s="251">
        <f t="shared" si="6"/>
        <v>0</v>
      </c>
      <c r="W35" s="251">
        <f t="shared" si="7"/>
        <v>0</v>
      </c>
      <c r="X35" s="15"/>
      <c r="Y35" s="15"/>
      <c r="Z35" s="15"/>
      <c r="AA35" s="15"/>
      <c r="AB35" s="15"/>
      <c r="AC35" s="15"/>
    </row>
    <row r="36" spans="1:29" s="14" customFormat="1" ht="12.75" x14ac:dyDescent="0.2">
      <c r="A36" s="172">
        <v>24</v>
      </c>
      <c r="B36" s="98" t="str">
        <f>'[1]учительство  '!B28</f>
        <v xml:space="preserve"> МКОУ Инхело ООШ  </v>
      </c>
      <c r="C36" s="19">
        <f t="shared" si="0"/>
        <v>10454932.683111113</v>
      </c>
      <c r="D36" s="19">
        <f>'[1]учительство  '!AX28</f>
        <v>872004</v>
      </c>
      <c r="E36" s="19">
        <f>'[1]учительство  '!AM28</f>
        <v>5497430</v>
      </c>
      <c r="F36" s="19">
        <f>'[1]учительство  '!BC28</f>
        <v>358362</v>
      </c>
      <c r="G36" s="19">
        <f>'[1]учительство  '!BM28</f>
        <v>1125090</v>
      </c>
      <c r="H36" s="19">
        <f t="shared" si="1"/>
        <v>7852886</v>
      </c>
      <c r="I36" s="19"/>
      <c r="J36" s="19">
        <f t="shared" si="2"/>
        <v>2371571.5719999997</v>
      </c>
      <c r="K36" s="171"/>
      <c r="L36" s="171"/>
      <c r="M36" s="12"/>
      <c r="N36" s="171">
        <f>[1]Школы!BM33</f>
        <v>230475.11111111112</v>
      </c>
      <c r="O36" s="19">
        <f>[1]Школы!BY33</f>
        <v>0</v>
      </c>
      <c r="P36" s="19">
        <f>[1]Школы!CN33</f>
        <v>0</v>
      </c>
      <c r="Q36" s="19">
        <f t="shared" si="3"/>
        <v>10454932.683111113</v>
      </c>
      <c r="R36" s="19">
        <f t="shared" si="4"/>
        <v>10454932.683111113</v>
      </c>
      <c r="S36" s="15"/>
      <c r="T36" s="21">
        <f>'[1]учительство  '!CD28</f>
        <v>0</v>
      </c>
      <c r="U36" s="251">
        <f t="shared" si="5"/>
        <v>0</v>
      </c>
      <c r="V36" s="251">
        <f t="shared" si="6"/>
        <v>0</v>
      </c>
      <c r="W36" s="251">
        <f t="shared" si="7"/>
        <v>0</v>
      </c>
      <c r="X36" s="15"/>
      <c r="Y36" s="15"/>
      <c r="Z36" s="15"/>
      <c r="AA36" s="15"/>
      <c r="AB36" s="15"/>
      <c r="AC36" s="15"/>
    </row>
    <row r="37" spans="1:29" s="14" customFormat="1" ht="12.75" x14ac:dyDescent="0.2">
      <c r="A37" s="12">
        <v>25</v>
      </c>
      <c r="B37" s="98" t="str">
        <f>'[1]учительство  '!B29</f>
        <v xml:space="preserve"> МКОУ Кижани ООШ  </v>
      </c>
      <c r="C37" s="19">
        <f t="shared" si="0"/>
        <v>9574676.699617777</v>
      </c>
      <c r="D37" s="19">
        <f>'[1]учительство  '!AX29</f>
        <v>659571</v>
      </c>
      <c r="E37" s="19">
        <f>'[1]учительство  '!AM29</f>
        <v>5009235</v>
      </c>
      <c r="F37" s="19">
        <f>'[1]учительство  '!BC29</f>
        <v>220434.3</v>
      </c>
      <c r="G37" s="19">
        <f>'[1]учительство  '!BM29</f>
        <v>1324522.6200000001</v>
      </c>
      <c r="H37" s="19">
        <f t="shared" si="1"/>
        <v>7213762.9199999999</v>
      </c>
      <c r="I37" s="19"/>
      <c r="J37" s="19">
        <f t="shared" si="2"/>
        <v>2178556.4018399999</v>
      </c>
      <c r="K37" s="171"/>
      <c r="L37" s="171"/>
      <c r="M37" s="12"/>
      <c r="N37" s="171">
        <f>[1]Школы!BM34</f>
        <v>182357.37777777776</v>
      </c>
      <c r="O37" s="19">
        <f>[1]Школы!BY34</f>
        <v>0</v>
      </c>
      <c r="P37" s="19">
        <f>[1]Школы!CN34</f>
        <v>0</v>
      </c>
      <c r="Q37" s="19">
        <f t="shared" si="3"/>
        <v>9574676.699617777</v>
      </c>
      <c r="R37" s="19">
        <f t="shared" si="4"/>
        <v>9574676.699617777</v>
      </c>
      <c r="S37" s="15"/>
      <c r="T37" s="21">
        <f>'[1]учительство  '!CD29</f>
        <v>0</v>
      </c>
      <c r="U37" s="251">
        <f t="shared" si="5"/>
        <v>0</v>
      </c>
      <c r="V37" s="251">
        <f t="shared" si="6"/>
        <v>0</v>
      </c>
      <c r="W37" s="251">
        <f t="shared" si="7"/>
        <v>0</v>
      </c>
      <c r="X37" s="15"/>
      <c r="Y37" s="15"/>
      <c r="Z37" s="15"/>
      <c r="AA37" s="15"/>
      <c r="AB37" s="15"/>
      <c r="AC37" s="15"/>
    </row>
    <row r="38" spans="1:29" s="14" customFormat="1" ht="12.75" x14ac:dyDescent="0.2">
      <c r="A38" s="172">
        <v>26</v>
      </c>
      <c r="B38" s="98" t="str">
        <f>'[1]учительство  '!B30</f>
        <v xml:space="preserve"> МКОУ Беледи НОШ  </v>
      </c>
      <c r="C38" s="19">
        <f t="shared" si="0"/>
        <v>956091.74351111113</v>
      </c>
      <c r="D38" s="19">
        <f>'[1]учительство  '!AX30</f>
        <v>29421.600000000002</v>
      </c>
      <c r="E38" s="19">
        <f>'[1]учительство  '!AM30</f>
        <v>440428</v>
      </c>
      <c r="F38" s="19">
        <f>'[1]учительство  '!BC30</f>
        <v>0</v>
      </c>
      <c r="G38" s="19">
        <f>'[1]учительство  '!BM30</f>
        <v>249186.59999999998</v>
      </c>
      <c r="H38" s="19">
        <f t="shared" si="1"/>
        <v>719036.2</v>
      </c>
      <c r="I38" s="19"/>
      <c r="J38" s="19">
        <f t="shared" si="2"/>
        <v>217148.93239999999</v>
      </c>
      <c r="K38" s="171"/>
      <c r="L38" s="171"/>
      <c r="M38" s="12"/>
      <c r="N38" s="171">
        <f>[1]Школы!BM35</f>
        <v>19906.611111111113</v>
      </c>
      <c r="O38" s="19">
        <f>[1]Школы!BY35</f>
        <v>0</v>
      </c>
      <c r="P38" s="19">
        <f>[1]Школы!CN35</f>
        <v>0</v>
      </c>
      <c r="Q38" s="19">
        <f t="shared" si="3"/>
        <v>956091.74351111113</v>
      </c>
      <c r="R38" s="19">
        <f t="shared" si="4"/>
        <v>956091.74351111113</v>
      </c>
      <c r="S38" s="15"/>
      <c r="T38" s="21">
        <f>'[1]учительство  '!CD30</f>
        <v>0</v>
      </c>
      <c r="U38" s="251">
        <f t="shared" si="5"/>
        <v>0</v>
      </c>
      <c r="V38" s="251">
        <f t="shared" si="6"/>
        <v>0</v>
      </c>
      <c r="W38" s="251">
        <f t="shared" si="7"/>
        <v>0</v>
      </c>
      <c r="X38" s="15"/>
      <c r="Y38" s="15"/>
      <c r="Z38" s="15"/>
      <c r="AA38" s="15"/>
      <c r="AB38" s="15"/>
      <c r="AC38" s="15"/>
    </row>
    <row r="39" spans="1:29" s="14" customFormat="1" ht="12.75" x14ac:dyDescent="0.2">
      <c r="A39" s="12">
        <v>27</v>
      </c>
      <c r="B39" s="98" t="str">
        <f>'[1]учительство  '!B31</f>
        <v xml:space="preserve"> МКОУ В-Алак НОШ  </v>
      </c>
      <c r="C39" s="19">
        <f t="shared" si="0"/>
        <v>1456352.4831555553</v>
      </c>
      <c r="D39" s="19">
        <f>'[1]учительство  '!AX31</f>
        <v>27241.199999999997</v>
      </c>
      <c r="E39" s="19">
        <f>'[1]учительство  '!AM31</f>
        <v>820816</v>
      </c>
      <c r="F39" s="19">
        <f>'[1]учительство  '!BC31</f>
        <v>0</v>
      </c>
      <c r="G39" s="19">
        <f>'[1]учительство  '!BM31</f>
        <v>249186.59999999998</v>
      </c>
      <c r="H39" s="19">
        <f t="shared" si="1"/>
        <v>1097243.7999999998</v>
      </c>
      <c r="I39" s="19"/>
      <c r="J39" s="19">
        <f t="shared" si="2"/>
        <v>331367.62759999995</v>
      </c>
      <c r="K39" s="171"/>
      <c r="L39" s="171"/>
      <c r="M39" s="12"/>
      <c r="N39" s="171">
        <f>[1]Школы!BM36</f>
        <v>27741.055555555555</v>
      </c>
      <c r="O39" s="19">
        <f>[1]Школы!BY36</f>
        <v>0</v>
      </c>
      <c r="P39" s="19">
        <f>[1]Школы!CN36</f>
        <v>0</v>
      </c>
      <c r="Q39" s="19">
        <f t="shared" si="3"/>
        <v>1456352.4831555553</v>
      </c>
      <c r="R39" s="19">
        <f t="shared" si="4"/>
        <v>1456352.4831555553</v>
      </c>
      <c r="S39" s="15"/>
      <c r="T39" s="21">
        <f>'[1]учительство  '!CD31</f>
        <v>0</v>
      </c>
      <c r="U39" s="251">
        <f t="shared" si="5"/>
        <v>0</v>
      </c>
      <c r="V39" s="251">
        <f t="shared" si="6"/>
        <v>0</v>
      </c>
      <c r="W39" s="251">
        <f t="shared" si="7"/>
        <v>0</v>
      </c>
      <c r="X39" s="15"/>
      <c r="Y39" s="15"/>
      <c r="Z39" s="15"/>
      <c r="AA39" s="15"/>
      <c r="AB39" s="15"/>
      <c r="AC39" s="15"/>
    </row>
    <row r="40" spans="1:29" s="14" customFormat="1" ht="12.75" x14ac:dyDescent="0.2">
      <c r="A40" s="172">
        <v>28</v>
      </c>
      <c r="B40" s="98" t="str">
        <f>'[1]учительство  '!B32</f>
        <v xml:space="preserve"> МКОУ Гунха НОШ  </v>
      </c>
      <c r="C40" s="19">
        <f t="shared" si="0"/>
        <v>1828387.7648622219</v>
      </c>
      <c r="D40" s="19">
        <f>'[1]учительство  '!AX32</f>
        <v>23680.800000000003</v>
      </c>
      <c r="E40" s="19">
        <f>'[1]учительство  '!AM32</f>
        <v>1107245.92</v>
      </c>
      <c r="F40" s="19">
        <f>'[1]учительство  '!BC32</f>
        <v>0</v>
      </c>
      <c r="G40" s="19">
        <f>'[1]учительство  '!BM32</f>
        <v>249186.59999999998</v>
      </c>
      <c r="H40" s="19">
        <f t="shared" si="1"/>
        <v>1380113.3199999998</v>
      </c>
      <c r="I40" s="19"/>
      <c r="J40" s="19">
        <f t="shared" si="2"/>
        <v>416794.22263999993</v>
      </c>
      <c r="K40" s="171"/>
      <c r="L40" s="171"/>
      <c r="M40" s="12"/>
      <c r="N40" s="171">
        <f>[1]Школы!BM37</f>
        <v>31480.222222222223</v>
      </c>
      <c r="O40" s="19">
        <f>[1]Школы!BY37</f>
        <v>0</v>
      </c>
      <c r="P40" s="19">
        <f>[1]Школы!CN37</f>
        <v>0</v>
      </c>
      <c r="Q40" s="19">
        <f t="shared" si="3"/>
        <v>1828387.7648622219</v>
      </c>
      <c r="R40" s="19">
        <f t="shared" si="4"/>
        <v>1828387.7648622219</v>
      </c>
      <c r="S40" s="15"/>
      <c r="T40" s="21">
        <f>'[1]учительство  '!CD32</f>
        <v>0</v>
      </c>
      <c r="U40" s="251">
        <f t="shared" si="5"/>
        <v>0</v>
      </c>
      <c r="V40" s="251">
        <f t="shared" si="6"/>
        <v>0</v>
      </c>
      <c r="W40" s="251">
        <f t="shared" si="7"/>
        <v>0</v>
      </c>
      <c r="X40" s="15"/>
      <c r="Y40" s="15"/>
      <c r="Z40" s="15"/>
      <c r="AA40" s="15"/>
      <c r="AB40" s="15"/>
      <c r="AC40" s="15"/>
    </row>
    <row r="41" spans="1:29" s="14" customFormat="1" ht="12.75" x14ac:dyDescent="0.2">
      <c r="A41" s="12">
        <v>29</v>
      </c>
      <c r="B41" s="98" t="str">
        <f>'[1]учительство  '!B33</f>
        <v xml:space="preserve"> МКОУ Зибирхали НОШ  </v>
      </c>
      <c r="C41" s="19">
        <f t="shared" si="0"/>
        <v>1062891.1579111109</v>
      </c>
      <c r="D41" s="19">
        <f>'[1]учительство  '!AX33</f>
        <v>29421.600000000002</v>
      </c>
      <c r="E41" s="19">
        <f>'[1]учительство  '!AM33</f>
        <v>522455.19999999995</v>
      </c>
      <c r="F41" s="19">
        <f>'[1]учительство  '!BC33</f>
        <v>0</v>
      </c>
      <c r="G41" s="19">
        <f>'[1]учительство  '!BM33</f>
        <v>249186.59999999998</v>
      </c>
      <c r="H41" s="19">
        <f t="shared" si="1"/>
        <v>801063.39999999991</v>
      </c>
      <c r="I41" s="19"/>
      <c r="J41" s="19">
        <f t="shared" si="2"/>
        <v>241921.14679999996</v>
      </c>
      <c r="K41" s="171"/>
      <c r="L41" s="171"/>
      <c r="M41" s="12"/>
      <c r="N41" s="171">
        <f>[1]Школы!BM38</f>
        <v>19906.611111111113</v>
      </c>
      <c r="O41" s="19">
        <f>[1]Школы!BY38</f>
        <v>0</v>
      </c>
      <c r="P41" s="19">
        <f>[1]Школы!CN38</f>
        <v>0</v>
      </c>
      <c r="Q41" s="19">
        <f t="shared" si="3"/>
        <v>1062891.1579111109</v>
      </c>
      <c r="R41" s="19">
        <f t="shared" si="4"/>
        <v>1062891.1579111109</v>
      </c>
      <c r="S41" s="15"/>
      <c r="T41" s="21">
        <f>'[1]учительство  '!CD33</f>
        <v>0</v>
      </c>
      <c r="U41" s="251">
        <f t="shared" si="5"/>
        <v>0</v>
      </c>
      <c r="V41" s="251">
        <f t="shared" si="6"/>
        <v>0</v>
      </c>
      <c r="W41" s="251">
        <f t="shared" si="7"/>
        <v>0</v>
      </c>
      <c r="X41" s="15"/>
      <c r="Y41" s="15"/>
      <c r="Z41" s="15"/>
      <c r="AA41" s="15"/>
      <c r="AB41" s="15"/>
      <c r="AC41" s="15"/>
    </row>
    <row r="42" spans="1:29" s="14" customFormat="1" ht="12.75" x14ac:dyDescent="0.2">
      <c r="A42" s="172">
        <v>30</v>
      </c>
      <c r="B42" s="98" t="str">
        <f>'[1]учительство  '!B34</f>
        <v xml:space="preserve"> МКОУ Н-Алак НОШ  </v>
      </c>
      <c r="C42" s="19">
        <f t="shared" si="0"/>
        <v>1238029.4775555555</v>
      </c>
      <c r="D42" s="19">
        <f>'[1]учительство  '!AX34</f>
        <v>25584</v>
      </c>
      <c r="E42" s="19">
        <f>'[1]учительство  '!AM34</f>
        <v>687293</v>
      </c>
      <c r="F42" s="19">
        <f>'[1]учительство  '!BC34</f>
        <v>0</v>
      </c>
      <c r="G42" s="19">
        <f>'[1]учительство  '!BM34</f>
        <v>216684</v>
      </c>
      <c r="H42" s="19">
        <f t="shared" si="1"/>
        <v>929561</v>
      </c>
      <c r="I42" s="19"/>
      <c r="J42" s="19">
        <f t="shared" si="2"/>
        <v>280727.42199999996</v>
      </c>
      <c r="K42" s="171"/>
      <c r="L42" s="171"/>
      <c r="M42" s="12"/>
      <c r="N42" s="171">
        <f>[1]Школы!BM39</f>
        <v>27741.055555555555</v>
      </c>
      <c r="O42" s="19">
        <f>[1]Школы!BY39</f>
        <v>0</v>
      </c>
      <c r="P42" s="19">
        <f>[1]Школы!CN39</f>
        <v>0</v>
      </c>
      <c r="Q42" s="19">
        <f t="shared" si="3"/>
        <v>1238029.4775555555</v>
      </c>
      <c r="R42" s="19">
        <f t="shared" si="4"/>
        <v>1238029.4775555555</v>
      </c>
      <c r="S42" s="15"/>
      <c r="T42" s="21">
        <f>'[1]учительство  '!CD34</f>
        <v>0</v>
      </c>
      <c r="U42" s="251">
        <f t="shared" si="5"/>
        <v>0</v>
      </c>
      <c r="V42" s="251">
        <f t="shared" si="6"/>
        <v>0</v>
      </c>
      <c r="W42" s="251">
        <f t="shared" si="7"/>
        <v>0</v>
      </c>
      <c r="X42" s="15"/>
      <c r="Y42" s="15"/>
      <c r="Z42" s="15"/>
      <c r="AA42" s="15"/>
      <c r="AB42" s="15"/>
      <c r="AC42" s="15"/>
    </row>
    <row r="43" spans="1:29" s="14" customFormat="1" ht="12.75" x14ac:dyDescent="0.2">
      <c r="A43" s="12">
        <v>31</v>
      </c>
      <c r="B43" s="98" t="str">
        <f>'[1]учительство  '!B35</f>
        <v xml:space="preserve"> МКОУ Шиворта НОШ  </v>
      </c>
      <c r="C43" s="19">
        <f t="shared" si="0"/>
        <v>1079965.585911111</v>
      </c>
      <c r="D43" s="19">
        <f>'[1]учительство  '!AX35</f>
        <v>23694.6</v>
      </c>
      <c r="E43" s="19">
        <f>'[1]учительство  '!AM35</f>
        <v>541296.19999999995</v>
      </c>
      <c r="F43" s="19">
        <f>'[1]учительство  '!BC35</f>
        <v>0</v>
      </c>
      <c r="G43" s="19">
        <f>'[1]учительство  '!BM35</f>
        <v>249186.59999999998</v>
      </c>
      <c r="H43" s="19">
        <f t="shared" si="1"/>
        <v>814177.39999999991</v>
      </c>
      <c r="I43" s="19"/>
      <c r="J43" s="19">
        <f t="shared" si="2"/>
        <v>245881.57479999997</v>
      </c>
      <c r="K43" s="171"/>
      <c r="L43" s="171"/>
      <c r="M43" s="12"/>
      <c r="N43" s="171">
        <f>[1]Школы!BM40</f>
        <v>19906.611111111113</v>
      </c>
      <c r="O43" s="19">
        <f>[1]Школы!BY40</f>
        <v>0</v>
      </c>
      <c r="P43" s="19">
        <f>[1]Школы!CN40</f>
        <v>0</v>
      </c>
      <c r="Q43" s="19">
        <f t="shared" si="3"/>
        <v>1079965.585911111</v>
      </c>
      <c r="R43" s="19">
        <f t="shared" si="4"/>
        <v>1079965.585911111</v>
      </c>
      <c r="S43" s="15" t="s">
        <v>0</v>
      </c>
      <c r="T43" s="21">
        <f>'[1]учительство  '!CD35</f>
        <v>0</v>
      </c>
      <c r="U43" s="251">
        <f t="shared" si="5"/>
        <v>0</v>
      </c>
      <c r="V43" s="251">
        <f t="shared" si="6"/>
        <v>0</v>
      </c>
      <c r="W43" s="251">
        <f t="shared" si="7"/>
        <v>0</v>
      </c>
      <c r="X43" s="15"/>
      <c r="Y43" s="15"/>
      <c r="Z43" s="15"/>
      <c r="AA43" s="15"/>
      <c r="AB43" s="15"/>
      <c r="AC43" s="15"/>
    </row>
    <row r="44" spans="1:29" s="14" customFormat="1" ht="12.75" x14ac:dyDescent="0.2">
      <c r="A44" s="12"/>
      <c r="B44" s="173" t="s">
        <v>128</v>
      </c>
      <c r="C44" s="18">
        <f>SUM(C13:C43)</f>
        <v>494212999.66211998</v>
      </c>
      <c r="D44" s="18">
        <f t="shared" ref="D44:R44" si="8">SUM(D13:D43)</f>
        <v>39346212.600000009</v>
      </c>
      <c r="E44" s="18">
        <f t="shared" si="8"/>
        <v>265298112.54000002</v>
      </c>
      <c r="F44" s="18">
        <f t="shared" si="8"/>
        <v>11568842.100000003</v>
      </c>
      <c r="G44" s="18">
        <f t="shared" si="8"/>
        <v>56148074.82</v>
      </c>
      <c r="H44" s="18">
        <f>SUM(H13:H43)</f>
        <v>372361242.06</v>
      </c>
      <c r="I44" s="18">
        <f t="shared" si="8"/>
        <v>0</v>
      </c>
      <c r="J44" s="18">
        <f t="shared" si="8"/>
        <v>112453095.10211998</v>
      </c>
      <c r="K44" s="18">
        <f>SUM(K13:K43)</f>
        <v>0</v>
      </c>
      <c r="L44" s="174">
        <f t="shared" si="8"/>
        <v>0</v>
      </c>
      <c r="M44" s="174">
        <f t="shared" si="8"/>
        <v>0</v>
      </c>
      <c r="N44" s="174">
        <f t="shared" si="8"/>
        <v>9398662.5000000019</v>
      </c>
      <c r="O44" s="18">
        <f t="shared" si="8"/>
        <v>0</v>
      </c>
      <c r="P44" s="18">
        <f t="shared" si="8"/>
        <v>0</v>
      </c>
      <c r="Q44" s="18">
        <f t="shared" si="8"/>
        <v>494212999.66211998</v>
      </c>
      <c r="R44" s="18">
        <f t="shared" si="8"/>
        <v>494212999.66211998</v>
      </c>
      <c r="S44" s="15"/>
      <c r="T44" s="251">
        <f>SUM(T13:T43)</f>
        <v>0</v>
      </c>
      <c r="U44" s="253">
        <f>SUM(U13:U43)</f>
        <v>0</v>
      </c>
      <c r="V44" s="251">
        <f>SUM(V13:V43)</f>
        <v>0</v>
      </c>
      <c r="W44" s="253">
        <f>SUM(W13:W43)</f>
        <v>0</v>
      </c>
      <c r="X44" s="15"/>
      <c r="Y44" s="15"/>
      <c r="Z44" s="15"/>
      <c r="AA44" s="15"/>
      <c r="AB44" s="15"/>
      <c r="AC44" s="15"/>
    </row>
    <row r="45" spans="1:29" s="14" customFormat="1" ht="12.75" x14ac:dyDescent="0.2">
      <c r="A45" s="172">
        <v>32</v>
      </c>
      <c r="B45" s="98" t="str">
        <f>'[1]ясли сады'!B5</f>
        <v>МКДОУ "Ромашка" с Алак</v>
      </c>
      <c r="C45" s="19">
        <f>SUM(H45:P45)</f>
        <v>4912552.0795332836</v>
      </c>
      <c r="D45" s="19">
        <f>'[1]ясли сады'!AQ5</f>
        <v>383436</v>
      </c>
      <c r="E45" s="19">
        <f>'[1]ясли сады'!AZ5</f>
        <v>2199911.506861201</v>
      </c>
      <c r="F45" s="19">
        <f>'[1]ясли сады'!BG5</f>
        <v>847567.79999999993</v>
      </c>
      <c r="G45" s="19">
        <f>'[1]ясли сады'!BD5</f>
        <v>208350</v>
      </c>
      <c r="H45" s="19">
        <f>SUM(D45:G45)</f>
        <v>3639265.3068612008</v>
      </c>
      <c r="I45" s="19">
        <f>'[1]ясли сады'!BT5</f>
        <v>11181</v>
      </c>
      <c r="J45" s="19">
        <f>H45*30.2/100</f>
        <v>1099058.1226720826</v>
      </c>
      <c r="K45" s="171">
        <v>0</v>
      </c>
      <c r="L45" s="171">
        <f>'[1]ясли сады'!BY5</f>
        <v>860</v>
      </c>
      <c r="M45" s="17">
        <f>'[1]ясли сады'!CE5</f>
        <v>3010</v>
      </c>
      <c r="N45" s="171">
        <f>'[1]ясли сады'!CF5</f>
        <v>130539.65000000001</v>
      </c>
      <c r="O45" s="19">
        <f>'[1]ясли сады'!DE5</f>
        <v>2580</v>
      </c>
      <c r="P45" s="19">
        <f>'[1]ясли сады'!DF5</f>
        <v>26058</v>
      </c>
      <c r="Q45" s="19">
        <f>C45</f>
        <v>4912552.0795332836</v>
      </c>
      <c r="R45" s="19">
        <f>Q45</f>
        <v>4912552.0795332836</v>
      </c>
      <c r="S45" s="15"/>
      <c r="T45" s="251">
        <f t="shared" ref="T45:T59" si="9">C45-H45-J45-O45</f>
        <v>171648.65000000014</v>
      </c>
      <c r="U45" s="251"/>
      <c r="V45" s="254"/>
      <c r="W45" s="251"/>
      <c r="X45" s="15"/>
      <c r="Y45" s="15"/>
      <c r="Z45" s="15"/>
      <c r="AA45" s="15"/>
      <c r="AB45" s="15"/>
      <c r="AC45" s="15"/>
    </row>
    <row r="46" spans="1:29" s="14" customFormat="1" ht="12.75" x14ac:dyDescent="0.2">
      <c r="A46" s="12">
        <v>33</v>
      </c>
      <c r="B46" s="98" t="str">
        <f>'[1]ясли сады'!B6</f>
        <v xml:space="preserve">МКДОУ "Светлячок" с Анди  </v>
      </c>
      <c r="C46" s="19">
        <f t="shared" ref="C46:C61" si="10">SUM(H46:P46)</f>
        <v>10079832.534482351</v>
      </c>
      <c r="D46" s="19">
        <f>'[1]ясли сады'!AQ6</f>
        <v>711086.39999999991</v>
      </c>
      <c r="E46" s="19">
        <f>'[1]ясли сады'!AZ6</f>
        <v>4103800.0415578727</v>
      </c>
      <c r="F46" s="19">
        <f>'[1]ясли сады'!BG6</f>
        <v>2046876.2369999993</v>
      </c>
      <c r="G46" s="19">
        <f>'[1]ясли сады'!BD6</f>
        <v>575045.99999999988</v>
      </c>
      <c r="H46" s="19">
        <f t="shared" si="1"/>
        <v>7436808.6785578728</v>
      </c>
      <c r="I46" s="19">
        <f>'[1]ясли сады'!BT6</f>
        <v>29900</v>
      </c>
      <c r="J46" s="19">
        <f t="shared" ref="J46:J59" si="11">H46*30.2/100</f>
        <v>2245916.2209244776</v>
      </c>
      <c r="K46" s="171">
        <v>0</v>
      </c>
      <c r="L46" s="171">
        <f>'[1]ясли сады'!BY6</f>
        <v>2300</v>
      </c>
      <c r="M46" s="17">
        <f>'[1]ясли сады'!CE6</f>
        <v>8050</v>
      </c>
      <c r="N46" s="171">
        <f>'[1]ясли сады'!CF6</f>
        <v>280267.63500000001</v>
      </c>
      <c r="O46" s="19">
        <f>'[1]ясли сады'!DE6</f>
        <v>6900</v>
      </c>
      <c r="P46" s="19">
        <f>'[1]ясли сады'!DF6</f>
        <v>69690</v>
      </c>
      <c r="Q46" s="19">
        <f t="shared" ref="Q46:Q59" si="12">C46</f>
        <v>10079832.534482351</v>
      </c>
      <c r="R46" s="19">
        <f t="shared" ref="R46:R59" si="13">Q46</f>
        <v>10079832.534482351</v>
      </c>
      <c r="S46" s="15"/>
      <c r="T46" s="251">
        <f t="shared" si="9"/>
        <v>390207.63500000024</v>
      </c>
      <c r="U46" s="251"/>
      <c r="V46" s="254"/>
      <c r="W46" s="251"/>
      <c r="X46" s="15"/>
      <c r="Y46" s="15"/>
      <c r="Z46" s="15"/>
      <c r="AA46" s="15"/>
      <c r="AB46" s="15"/>
      <c r="AC46" s="15"/>
    </row>
    <row r="47" spans="1:29" s="14" customFormat="1" ht="12.75" x14ac:dyDescent="0.2">
      <c r="A47" s="172">
        <v>34</v>
      </c>
      <c r="B47" s="98" t="str">
        <f>'[1]ясли сады'!B7</f>
        <v>МКДОУ "Аист" с  Ансалта</v>
      </c>
      <c r="C47" s="19">
        <f t="shared" si="10"/>
        <v>13155874.150287993</v>
      </c>
      <c r="D47" s="19">
        <f>'[1]ясли сады'!AQ7</f>
        <v>756852</v>
      </c>
      <c r="E47" s="19">
        <f>'[1]ясли сады'!AZ7</f>
        <v>5755179.7193609774</v>
      </c>
      <c r="F47" s="19">
        <f>'[1]ясли сады'!BG7</f>
        <v>2373189.84</v>
      </c>
      <c r="G47" s="19">
        <f>'[1]ясли сады'!BD7</f>
        <v>833400</v>
      </c>
      <c r="H47" s="19">
        <f t="shared" si="1"/>
        <v>9718621.5593609773</v>
      </c>
      <c r="I47" s="19">
        <f>'[1]ясли сады'!BT7</f>
        <v>37700</v>
      </c>
      <c r="J47" s="19">
        <f t="shared" si="11"/>
        <v>2935023.7109270152</v>
      </c>
      <c r="K47" s="171">
        <v>0</v>
      </c>
      <c r="L47" s="171">
        <f>'[1]ясли сады'!BY7</f>
        <v>2900</v>
      </c>
      <c r="M47" s="17">
        <f>'[1]ясли сады'!CE7</f>
        <v>10150</v>
      </c>
      <c r="N47" s="171">
        <f>'[1]ясли сады'!CF7</f>
        <v>354908.88</v>
      </c>
      <c r="O47" s="19">
        <f>'[1]ясли сады'!DE7</f>
        <v>8700</v>
      </c>
      <c r="P47" s="19">
        <f>'[1]ясли сады'!DF7</f>
        <v>87870</v>
      </c>
      <c r="Q47" s="19">
        <f t="shared" si="12"/>
        <v>13155874.150287993</v>
      </c>
      <c r="R47" s="19">
        <f t="shared" si="13"/>
        <v>13155874.150287993</v>
      </c>
      <c r="S47" s="15"/>
      <c r="T47" s="251">
        <f t="shared" si="9"/>
        <v>493528.88000000082</v>
      </c>
      <c r="U47" s="251"/>
      <c r="V47" s="254"/>
      <c r="W47" s="251"/>
      <c r="X47" s="15"/>
      <c r="Y47" s="15"/>
      <c r="Z47" s="15"/>
      <c r="AA47" s="15"/>
      <c r="AB47" s="15"/>
      <c r="AC47" s="15"/>
    </row>
    <row r="48" spans="1:29" s="14" customFormat="1" ht="12.75" x14ac:dyDescent="0.2">
      <c r="A48" s="12">
        <v>35</v>
      </c>
      <c r="B48" s="98" t="str">
        <f>'[1]ясли сады'!B8</f>
        <v xml:space="preserve">МКДОУ "Чебурашка" с Ботлих  </v>
      </c>
      <c r="C48" s="19">
        <f t="shared" si="10"/>
        <v>14678719.539922984</v>
      </c>
      <c r="D48" s="19">
        <f>'[1]ясли сады'!AQ8</f>
        <v>1253340</v>
      </c>
      <c r="E48" s="19">
        <f>'[1]ясли сады'!AZ8</f>
        <v>6357392.2258087453</v>
      </c>
      <c r="F48" s="19">
        <f>'[1]ясли сады'!BG8</f>
        <v>2712216.96</v>
      </c>
      <c r="G48" s="19">
        <f>'[1]ясли сады'!BD8</f>
        <v>500040</v>
      </c>
      <c r="H48" s="19">
        <f t="shared" si="1"/>
        <v>10822989.185808744</v>
      </c>
      <c r="I48" s="19">
        <f>'[1]ясли сады'!BT8</f>
        <v>48100</v>
      </c>
      <c r="J48" s="19">
        <f t="shared" si="11"/>
        <v>3268542.7341142404</v>
      </c>
      <c r="K48" s="171">
        <v>0</v>
      </c>
      <c r="L48" s="171">
        <f>'[1]ясли сады'!BY8</f>
        <v>3700</v>
      </c>
      <c r="M48" s="17">
        <f>'[1]ясли сады'!CE8</f>
        <v>12950</v>
      </c>
      <c r="N48" s="171">
        <f>'[1]ясли сады'!CF8</f>
        <v>399227.62</v>
      </c>
      <c r="O48" s="19">
        <f>'[1]ясли сады'!DE8</f>
        <v>11100</v>
      </c>
      <c r="P48" s="19">
        <f>'[1]ясли сады'!DF8</f>
        <v>112110</v>
      </c>
      <c r="Q48" s="19">
        <f t="shared" si="12"/>
        <v>14678719.539922984</v>
      </c>
      <c r="R48" s="19">
        <f t="shared" si="13"/>
        <v>14678719.539922984</v>
      </c>
      <c r="S48" s="15"/>
      <c r="T48" s="251">
        <f t="shared" si="9"/>
        <v>576087.61999999965</v>
      </c>
      <c r="U48" s="251"/>
      <c r="V48" s="254"/>
      <c r="W48" s="251"/>
      <c r="X48" s="15"/>
      <c r="Y48" s="15"/>
      <c r="Z48" s="15"/>
      <c r="AA48" s="15"/>
      <c r="AB48" s="15"/>
      <c r="AC48" s="15"/>
    </row>
    <row r="49" spans="1:29" s="14" customFormat="1" ht="12.75" x14ac:dyDescent="0.2">
      <c r="A49" s="172">
        <v>36</v>
      </c>
      <c r="B49" s="98" t="str">
        <f>'[1]ясли сады'!B9</f>
        <v>МКДОУ "Солнышко" с  Ботлих</v>
      </c>
      <c r="C49" s="19">
        <f t="shared" si="10"/>
        <v>12091500.863697669</v>
      </c>
      <c r="D49" s="19">
        <f>'[1]ясли сады'!AQ9</f>
        <v>1069848</v>
      </c>
      <c r="E49" s="19">
        <f>'[1]ясли сады'!AZ9</f>
        <v>5102261.8404231966</v>
      </c>
      <c r="F49" s="19">
        <f>'[1]ясли сады'!BG9</f>
        <v>2030162.4</v>
      </c>
      <c r="G49" s="19">
        <f>'[1]ясли сады'!BD9</f>
        <v>666720</v>
      </c>
      <c r="H49" s="19">
        <f t="shared" si="1"/>
        <v>8868992.2404231969</v>
      </c>
      <c r="I49" s="19">
        <f>'[1]ясли сады'!BT9</f>
        <v>49400</v>
      </c>
      <c r="J49" s="19">
        <f t="shared" si="11"/>
        <v>2678435.6566078053</v>
      </c>
      <c r="K49" s="171">
        <v>0</v>
      </c>
      <c r="L49" s="171">
        <f>'[1]ясли сады'!BY9</f>
        <v>3800</v>
      </c>
      <c r="M49" s="17">
        <f>'[1]ясли сады'!CE9</f>
        <v>13300</v>
      </c>
      <c r="N49" s="171">
        <f>'[1]ясли сады'!CF9</f>
        <v>351032.96666666667</v>
      </c>
      <c r="O49" s="19">
        <f>'[1]ясли сады'!DE9</f>
        <v>11400</v>
      </c>
      <c r="P49" s="19">
        <f>'[1]ясли сады'!DF9</f>
        <v>115140</v>
      </c>
      <c r="Q49" s="19">
        <f t="shared" si="12"/>
        <v>12091500.863697669</v>
      </c>
      <c r="R49" s="19">
        <f t="shared" si="13"/>
        <v>12091500.863697669</v>
      </c>
      <c r="S49" s="15"/>
      <c r="T49" s="251">
        <f t="shared" si="9"/>
        <v>532672.96666666633</v>
      </c>
      <c r="U49" s="251"/>
      <c r="V49" s="254"/>
      <c r="W49" s="251"/>
      <c r="X49" s="15"/>
      <c r="Y49" s="15"/>
      <c r="Z49" s="15"/>
      <c r="AA49" s="15"/>
      <c r="AB49" s="15"/>
      <c r="AC49" s="15"/>
    </row>
    <row r="50" spans="1:29" s="14" customFormat="1" ht="12.75" x14ac:dyDescent="0.2">
      <c r="A50" s="12">
        <v>37</v>
      </c>
      <c r="B50" s="98" t="str">
        <f>'[1]ясли сады'!B10</f>
        <v>МКДОУ "Родничок" с  Ботлих</v>
      </c>
      <c r="C50" s="19">
        <f t="shared" si="10"/>
        <v>10235126.880943894</v>
      </c>
      <c r="D50" s="19">
        <f>'[1]ясли сады'!AQ10</f>
        <v>696120</v>
      </c>
      <c r="E50" s="19">
        <f>'[1]ясли сады'!AZ10</f>
        <v>4138155.1053639762</v>
      </c>
      <c r="F50" s="19">
        <f>'[1]ясли сады'!BG10</f>
        <v>1779892.3799999994</v>
      </c>
      <c r="G50" s="19">
        <f>'[1]ясли сады'!BD10</f>
        <v>916740</v>
      </c>
      <c r="H50" s="19">
        <f t="shared" si="1"/>
        <v>7530907.4853639752</v>
      </c>
      <c r="I50" s="19">
        <f>'[1]ясли сады'!BT10</f>
        <v>32760</v>
      </c>
      <c r="J50" s="19">
        <f t="shared" si="11"/>
        <v>2274334.0605799202</v>
      </c>
      <c r="K50" s="171">
        <v>0</v>
      </c>
      <c r="L50" s="171">
        <f>'[1]ясли сады'!BY10</f>
        <v>2520</v>
      </c>
      <c r="M50" s="17">
        <f>'[1]ясли сады'!CE10</f>
        <v>8820</v>
      </c>
      <c r="N50" s="171">
        <f>'[1]ясли сады'!CF10</f>
        <v>301869.33499999996</v>
      </c>
      <c r="O50" s="19">
        <f>'[1]ясли сады'!DE10</f>
        <v>7560</v>
      </c>
      <c r="P50" s="19">
        <f>'[1]ясли сады'!DF10</f>
        <v>76356</v>
      </c>
      <c r="Q50" s="19">
        <f t="shared" si="12"/>
        <v>10235126.880943894</v>
      </c>
      <c r="R50" s="19">
        <f t="shared" si="13"/>
        <v>10235126.880943894</v>
      </c>
      <c r="S50" s="15"/>
      <c r="T50" s="251">
        <f t="shared" si="9"/>
        <v>422325.33499999903</v>
      </c>
      <c r="U50" s="251"/>
      <c r="V50" s="254"/>
      <c r="W50" s="251"/>
      <c r="X50" s="15"/>
      <c r="Y50" s="15"/>
      <c r="Z50" s="15"/>
      <c r="AA50" s="15"/>
      <c r="AB50" s="15"/>
      <c r="AC50" s="15"/>
    </row>
    <row r="51" spans="1:29" s="14" customFormat="1" ht="12.75" x14ac:dyDescent="0.2">
      <c r="A51" s="172">
        <v>38</v>
      </c>
      <c r="B51" s="98" t="str">
        <f>'[1]ясли сады'!B11</f>
        <v xml:space="preserve">МКДОУ "Орленок" с Гагатли </v>
      </c>
      <c r="C51" s="19">
        <f t="shared" si="10"/>
        <v>6374358.8265540935</v>
      </c>
      <c r="D51" s="19">
        <f>'[1]ясли сады'!AQ11</f>
        <v>497890.19999999995</v>
      </c>
      <c r="E51" s="19">
        <f>'[1]ясли сады'!AZ11</f>
        <v>2232169.8390461542</v>
      </c>
      <c r="F51" s="19">
        <f>'[1]ясли сады'!BG11</f>
        <v>1364584.1579999998</v>
      </c>
      <c r="G51" s="19">
        <f>'[1]ясли сады'!BD11</f>
        <v>575045.99999999988</v>
      </c>
      <c r="H51" s="19">
        <f t="shared" si="1"/>
        <v>4669690.1970461542</v>
      </c>
      <c r="I51" s="19">
        <f>'[1]ясли сады'!BT11</f>
        <v>22100</v>
      </c>
      <c r="J51" s="19">
        <f t="shared" si="11"/>
        <v>1410246.4395079387</v>
      </c>
      <c r="K51" s="171">
        <v>0</v>
      </c>
      <c r="L51" s="171">
        <f>'[1]ясли сады'!BY11</f>
        <v>1700</v>
      </c>
      <c r="M51" s="17">
        <f>'[1]ясли сады'!CE11</f>
        <v>5950</v>
      </c>
      <c r="N51" s="171">
        <f>'[1]ясли сады'!CF11</f>
        <v>208062.19000000003</v>
      </c>
      <c r="O51" s="19">
        <f>'[1]ясли сады'!DE11</f>
        <v>5100</v>
      </c>
      <c r="P51" s="19">
        <f>'[1]ясли сады'!DF11</f>
        <v>51510</v>
      </c>
      <c r="Q51" s="19">
        <f t="shared" si="12"/>
        <v>6374358.8265540935</v>
      </c>
      <c r="R51" s="19">
        <f t="shared" si="13"/>
        <v>6374358.8265540935</v>
      </c>
      <c r="S51" s="15"/>
      <c r="T51" s="251">
        <f t="shared" si="9"/>
        <v>289322.19000000064</v>
      </c>
      <c r="U51" s="251"/>
      <c r="V51" s="254"/>
      <c r="W51" s="251"/>
      <c r="X51" s="15"/>
      <c r="Y51" s="15"/>
      <c r="Z51" s="15"/>
      <c r="AA51" s="15"/>
      <c r="AB51" s="15"/>
      <c r="AC51" s="15"/>
    </row>
    <row r="52" spans="1:29" s="14" customFormat="1" ht="12.75" x14ac:dyDescent="0.2">
      <c r="A52" s="12">
        <v>39</v>
      </c>
      <c r="B52" s="98" t="str">
        <f>'[1]ясли сады'!B12</f>
        <v>МКДОУ "Улыбка" с  Муни</v>
      </c>
      <c r="C52" s="19">
        <f t="shared" si="10"/>
        <v>6740423.0409723762</v>
      </c>
      <c r="D52" s="19">
        <f>'[1]ясли сады'!AQ12</f>
        <v>514368</v>
      </c>
      <c r="E52" s="19">
        <f>'[1]ясли сады'!AZ12</f>
        <v>2839215.9977975236</v>
      </c>
      <c r="F52" s="19">
        <f>'[1]ясли сады'!BG12</f>
        <v>1186594.92</v>
      </c>
      <c r="G52" s="19">
        <f>'[1]ясли сады'!BD12</f>
        <v>416700</v>
      </c>
      <c r="H52" s="19">
        <f t="shared" si="1"/>
        <v>4956878.9177975236</v>
      </c>
      <c r="I52" s="19">
        <f>'[1]ясли сады'!BT12</f>
        <v>21320</v>
      </c>
      <c r="J52" s="19">
        <f t="shared" si="11"/>
        <v>1496977.433174852</v>
      </c>
      <c r="K52" s="171">
        <v>0</v>
      </c>
      <c r="L52" s="171">
        <f>'[1]ясли сады'!BY12</f>
        <v>1640</v>
      </c>
      <c r="M52" s="17">
        <f>'[1]ясли сады'!CE12</f>
        <v>5740</v>
      </c>
      <c r="N52" s="171">
        <f>'[1]ясли сады'!CF12</f>
        <v>203254.69</v>
      </c>
      <c r="O52" s="19">
        <f>'[1]ясли сады'!DE12</f>
        <v>4920</v>
      </c>
      <c r="P52" s="19">
        <f>'[1]ясли сады'!DF12</f>
        <v>49692</v>
      </c>
      <c r="Q52" s="19">
        <f t="shared" si="12"/>
        <v>6740423.0409723762</v>
      </c>
      <c r="R52" s="19">
        <f t="shared" si="13"/>
        <v>6740423.0409723762</v>
      </c>
      <c r="S52" s="15"/>
      <c r="T52" s="251">
        <f t="shared" si="9"/>
        <v>281646.69000000064</v>
      </c>
      <c r="U52" s="251"/>
      <c r="V52" s="254"/>
      <c r="W52" s="251"/>
      <c r="X52" s="15"/>
      <c r="Y52" s="15"/>
      <c r="Z52" s="15"/>
      <c r="AA52" s="15"/>
      <c r="AB52" s="15"/>
      <c r="AC52" s="15"/>
    </row>
    <row r="53" spans="1:29" s="14" customFormat="1" ht="12.75" x14ac:dyDescent="0.2">
      <c r="A53" s="172">
        <v>40</v>
      </c>
      <c r="B53" s="98" t="str">
        <f>'[1]ясли сады'!B13</f>
        <v xml:space="preserve">МКДОУ "Ласточка" с Рахата  </v>
      </c>
      <c r="C53" s="19">
        <f t="shared" si="10"/>
        <v>14633786.690172067</v>
      </c>
      <c r="D53" s="19">
        <f>'[1]ясли сады'!AQ13</f>
        <v>1077900</v>
      </c>
      <c r="E53" s="19">
        <f>'[1]ясли сады'!AZ13</f>
        <v>6534611.8039416801</v>
      </c>
      <c r="F53" s="19">
        <f>'[1]ясли сады'!BG13</f>
        <v>2784222.7199999997</v>
      </c>
      <c r="G53" s="19">
        <f>'[1]ясли сады'!BD13</f>
        <v>416700</v>
      </c>
      <c r="H53" s="19">
        <f t="shared" si="1"/>
        <v>10813434.523941681</v>
      </c>
      <c r="I53" s="19">
        <f>'[1]ясли сады'!BT13</f>
        <v>41340</v>
      </c>
      <c r="J53" s="19">
        <f t="shared" si="11"/>
        <v>3265657.2262303876</v>
      </c>
      <c r="K53" s="171">
        <v>0</v>
      </c>
      <c r="L53" s="171">
        <f>'[1]ясли сады'!BY13</f>
        <v>3180</v>
      </c>
      <c r="M53" s="17">
        <f>'[1]ясли сады'!CE13</f>
        <v>11130</v>
      </c>
      <c r="N53" s="171">
        <f>'[1]ясли сады'!CF13</f>
        <v>393150.94</v>
      </c>
      <c r="O53" s="19">
        <f>'[1]ясли сады'!DE13</f>
        <v>9540</v>
      </c>
      <c r="P53" s="19">
        <f>'[1]ясли сады'!DF13</f>
        <v>96354</v>
      </c>
      <c r="Q53" s="19">
        <f t="shared" si="12"/>
        <v>14633786.690172067</v>
      </c>
      <c r="R53" s="19">
        <f t="shared" si="13"/>
        <v>14633786.690172067</v>
      </c>
      <c r="S53" s="15"/>
      <c r="T53" s="251">
        <f t="shared" si="9"/>
        <v>545154.93999999855</v>
      </c>
      <c r="U53" s="251"/>
      <c r="V53" s="254"/>
      <c r="W53" s="251"/>
      <c r="X53" s="15"/>
      <c r="Y53" s="15"/>
      <c r="Z53" s="15"/>
      <c r="AA53" s="15"/>
      <c r="AB53" s="15"/>
      <c r="AC53" s="15"/>
    </row>
    <row r="54" spans="1:29" s="14" customFormat="1" ht="12.75" x14ac:dyDescent="0.2">
      <c r="A54" s="12">
        <v>41</v>
      </c>
      <c r="B54" s="98" t="str">
        <f>'[1]ясли сады'!B14</f>
        <v>МКДОУ "Звездочка" с  Тандо</v>
      </c>
      <c r="C54" s="19">
        <f t="shared" si="10"/>
        <v>3580000.1029311428</v>
      </c>
      <c r="D54" s="19">
        <f>'[1]ясли сады'!AQ14</f>
        <v>374256</v>
      </c>
      <c r="E54" s="19">
        <f>'[1]ясли сады'!AZ14</f>
        <v>1371024.0960147029</v>
      </c>
      <c r="F54" s="19">
        <f>'[1]ясли сады'!BG14</f>
        <v>593297.46</v>
      </c>
      <c r="G54" s="19">
        <f>'[1]ясли сады'!BD14</f>
        <v>291690</v>
      </c>
      <c r="H54" s="19">
        <f t="shared" si="1"/>
        <v>2630267.5560147027</v>
      </c>
      <c r="I54" s="19">
        <f>'[1]ясли сады'!BT14</f>
        <v>9100</v>
      </c>
      <c r="J54" s="19">
        <f t="shared" si="11"/>
        <v>794340.80191644013</v>
      </c>
      <c r="K54" s="171">
        <v>0</v>
      </c>
      <c r="L54" s="171">
        <f>'[1]ясли сады'!BY14</f>
        <v>700</v>
      </c>
      <c r="M54" s="17">
        <f>'[1]ясли сады'!CE14</f>
        <v>2450</v>
      </c>
      <c r="N54" s="171">
        <f>'[1]ясли сады'!CF14</f>
        <v>119831.74499999998</v>
      </c>
      <c r="O54" s="19">
        <f>'[1]ясли сады'!DE14</f>
        <v>2100</v>
      </c>
      <c r="P54" s="19">
        <f>'[1]ясли сады'!DF14</f>
        <v>21210</v>
      </c>
      <c r="Q54" s="19">
        <f t="shared" si="12"/>
        <v>3580000.1029311428</v>
      </c>
      <c r="R54" s="19">
        <f t="shared" si="13"/>
        <v>3580000.1029311428</v>
      </c>
      <c r="S54" s="15"/>
      <c r="T54" s="251">
        <f t="shared" si="9"/>
        <v>153291.745</v>
      </c>
      <c r="U54" s="251"/>
      <c r="V54" s="254"/>
      <c r="W54" s="251"/>
      <c r="X54" s="15"/>
      <c r="Y54" s="15"/>
      <c r="Z54" s="15"/>
      <c r="AA54" s="15"/>
      <c r="AB54" s="15"/>
      <c r="AC54" s="15"/>
    </row>
    <row r="55" spans="1:29" s="14" customFormat="1" ht="12.75" x14ac:dyDescent="0.2">
      <c r="A55" s="172">
        <v>42</v>
      </c>
      <c r="B55" s="98" t="str">
        <f>'[1]ясли сады'!B15</f>
        <v xml:space="preserve">МКДОУ "Радуга" с Тлох </v>
      </c>
      <c r="C55" s="19">
        <f t="shared" si="10"/>
        <v>6494698.1651633941</v>
      </c>
      <c r="D55" s="19">
        <f>'[1]ясли сады'!AQ15</f>
        <v>537060</v>
      </c>
      <c r="E55" s="19">
        <f>'[1]ясли сады'!AZ15</f>
        <v>2777056.1887071645</v>
      </c>
      <c r="F55" s="19">
        <f>'[1]ясли сады'!BG15</f>
        <v>1130090.3999999999</v>
      </c>
      <c r="G55" s="19">
        <f>'[1]ясли сады'!BD15</f>
        <v>333360</v>
      </c>
      <c r="H55" s="19">
        <f t="shared" si="1"/>
        <v>4777566.5887071639</v>
      </c>
      <c r="I55" s="19">
        <f>'[1]ясли сады'!BT15</f>
        <v>20800</v>
      </c>
      <c r="J55" s="19">
        <f t="shared" si="11"/>
        <v>1442825.1097895633</v>
      </c>
      <c r="K55" s="171">
        <v>0</v>
      </c>
      <c r="L55" s="171">
        <f>'[1]ясли сады'!BY15</f>
        <v>1600</v>
      </c>
      <c r="M55" s="17">
        <f>'[1]ясли сады'!CE15</f>
        <v>5600</v>
      </c>
      <c r="N55" s="171">
        <f>'[1]ясли сады'!CF15</f>
        <v>193026.46666666667</v>
      </c>
      <c r="O55" s="19">
        <f>'[1]ясли сады'!DE15</f>
        <v>4800</v>
      </c>
      <c r="P55" s="19">
        <f>'[1]ясли сады'!DF15</f>
        <v>48480</v>
      </c>
      <c r="Q55" s="19">
        <f t="shared" si="12"/>
        <v>6494698.1651633941</v>
      </c>
      <c r="R55" s="19">
        <f t="shared" si="13"/>
        <v>6494698.1651633941</v>
      </c>
      <c r="S55" s="15"/>
      <c r="T55" s="251">
        <f t="shared" si="9"/>
        <v>269506.46666666679</v>
      </c>
      <c r="U55" s="251"/>
      <c r="V55" s="254"/>
      <c r="W55" s="251"/>
      <c r="X55" s="15"/>
      <c r="Y55" s="15"/>
      <c r="Z55" s="15"/>
      <c r="AA55" s="15"/>
      <c r="AB55" s="15"/>
      <c r="AC55" s="15"/>
    </row>
    <row r="56" spans="1:29" s="14" customFormat="1" ht="12.75" x14ac:dyDescent="0.2">
      <c r="A56" s="12">
        <v>43</v>
      </c>
      <c r="B56" s="98" t="str">
        <f>'[1]ясли сады'!B16</f>
        <v xml:space="preserve">МКДОУ "Сказка" с Ашали  </v>
      </c>
      <c r="C56" s="19">
        <f t="shared" si="10"/>
        <v>2595058.8254123018</v>
      </c>
      <c r="D56" s="19">
        <f>'[1]ясли сады'!AQ16</f>
        <v>406313.39999999997</v>
      </c>
      <c r="E56" s="19">
        <f>'[1]ясли сады'!AZ16</f>
        <v>826598.0227982353</v>
      </c>
      <c r="F56" s="19">
        <f>'[1]ясли сады'!BG16</f>
        <v>341146.03949999996</v>
      </c>
      <c r="G56" s="19">
        <f>'[1]ясли сады'!BD16</f>
        <v>335443.49999999994</v>
      </c>
      <c r="H56" s="19">
        <f t="shared" si="1"/>
        <v>1909500.9622982352</v>
      </c>
      <c r="I56" s="19">
        <f>'[1]ясли сады'!BT16</f>
        <v>5200</v>
      </c>
      <c r="J56" s="19">
        <f t="shared" si="11"/>
        <v>576669.29061406699</v>
      </c>
      <c r="K56" s="171">
        <v>0</v>
      </c>
      <c r="L56" s="171">
        <f>'[1]ясли сады'!BY16</f>
        <v>400</v>
      </c>
      <c r="M56" s="17">
        <f>'[1]ясли сады'!CE16</f>
        <v>1400</v>
      </c>
      <c r="N56" s="171">
        <f>'[1]ясли сады'!CF16</f>
        <v>88568.572499999995</v>
      </c>
      <c r="O56" s="19">
        <f>'[1]ясли сады'!DE16</f>
        <v>1200</v>
      </c>
      <c r="P56" s="19">
        <f>'[1]ясли сады'!DF16</f>
        <v>12120</v>
      </c>
      <c r="Q56" s="19">
        <f t="shared" si="12"/>
        <v>2595058.8254123018</v>
      </c>
      <c r="R56" s="19">
        <f t="shared" si="13"/>
        <v>2595058.8254123018</v>
      </c>
      <c r="S56" s="15"/>
      <c r="T56" s="251">
        <f t="shared" si="9"/>
        <v>107688.57249999966</v>
      </c>
      <c r="U56" s="251"/>
      <c r="V56" s="254"/>
      <c r="W56" s="251"/>
      <c r="X56" s="15"/>
      <c r="Y56" s="15"/>
      <c r="Z56" s="15"/>
      <c r="AA56" s="15"/>
      <c r="AB56" s="15"/>
      <c r="AC56" s="15"/>
    </row>
    <row r="57" spans="1:29" s="14" customFormat="1" ht="12.75" x14ac:dyDescent="0.2">
      <c r="A57" s="172">
        <v>44</v>
      </c>
      <c r="B57" s="98" t="str">
        <f>'[1]ясли сады'!B17</f>
        <v>МКДОУ "Журавлик" с  Шодрода</v>
      </c>
      <c r="C57" s="19">
        <f t="shared" si="10"/>
        <v>2101144.9218323608</v>
      </c>
      <c r="D57" s="19">
        <f>'[1]ясли сады'!AQ17</f>
        <v>316896</v>
      </c>
      <c r="E57" s="19">
        <f>'[1]ясли сады'!AZ17</f>
        <v>707596.32171456283</v>
      </c>
      <c r="F57" s="19">
        <f>'[1]ясли сады'!BG17</f>
        <v>296648.73</v>
      </c>
      <c r="G57" s="19">
        <f>'[1]ясли сады'!BD17</f>
        <v>208350</v>
      </c>
      <c r="H57" s="19">
        <f t="shared" si="1"/>
        <v>1529491.0517145628</v>
      </c>
      <c r="I57" s="19">
        <f>'[1]ясли сады'!BT17</f>
        <v>6240</v>
      </c>
      <c r="J57" s="19">
        <f t="shared" si="11"/>
        <v>461906.29761779791</v>
      </c>
      <c r="K57" s="171">
        <v>0</v>
      </c>
      <c r="L57" s="171">
        <f>'[1]ясли сады'!BY17</f>
        <v>480</v>
      </c>
      <c r="M57" s="17">
        <f>'[1]ясли сады'!CE17</f>
        <v>1680</v>
      </c>
      <c r="N57" s="171">
        <f>'[1]ясли сады'!CF17</f>
        <v>85363.572499999995</v>
      </c>
      <c r="O57" s="19">
        <f>'[1]ясли сады'!DE17</f>
        <v>1440</v>
      </c>
      <c r="P57" s="19">
        <f>'[1]ясли сады'!DF17</f>
        <v>14544</v>
      </c>
      <c r="Q57" s="19">
        <f t="shared" si="12"/>
        <v>2101144.9218323608</v>
      </c>
      <c r="R57" s="19">
        <f t="shared" si="13"/>
        <v>2101144.9218323608</v>
      </c>
      <c r="S57" s="15"/>
      <c r="T57" s="251">
        <f t="shared" si="9"/>
        <v>108307.57250000007</v>
      </c>
      <c r="U57" s="251"/>
      <c r="V57" s="254"/>
      <c r="W57" s="251"/>
      <c r="X57" s="15"/>
      <c r="Y57" s="15"/>
      <c r="Z57" s="15"/>
      <c r="AA57" s="15"/>
      <c r="AB57" s="15"/>
      <c r="AC57" s="15"/>
    </row>
    <row r="58" spans="1:29" s="14" customFormat="1" ht="12.75" x14ac:dyDescent="0.2">
      <c r="A58" s="12">
        <v>45</v>
      </c>
      <c r="B58" s="98" t="str">
        <f>'[1]ясли сады'!B18</f>
        <v>МКДОУ "Теремок" с  Годобери</v>
      </c>
      <c r="C58" s="19">
        <f t="shared" si="10"/>
        <v>5744712.3920344561</v>
      </c>
      <c r="D58" s="19">
        <f>'[1]ясли сады'!AQ18</f>
        <v>399427.19999999995</v>
      </c>
      <c r="E58" s="19">
        <f>'[1]ясли сады'!AZ18</f>
        <v>2426655.3777630227</v>
      </c>
      <c r="F58" s="19">
        <f>'[1]ясли сады'!BG18</f>
        <v>1023438.1184999996</v>
      </c>
      <c r="G58" s="19">
        <f>'[1]ясли сады'!BD18</f>
        <v>383363.99999999994</v>
      </c>
      <c r="H58" s="19">
        <f t="shared" si="1"/>
        <v>4232884.6962630227</v>
      </c>
      <c r="I58" s="19">
        <f>'[1]ясли сады'!BT18</f>
        <v>18200</v>
      </c>
      <c r="J58" s="19">
        <f t="shared" si="11"/>
        <v>1278331.1782714329</v>
      </c>
      <c r="K58" s="171">
        <v>0</v>
      </c>
      <c r="L58" s="171">
        <f>'[1]ясли сады'!BY18</f>
        <v>1400</v>
      </c>
      <c r="M58" s="17">
        <f>'[1]ясли сады'!CE18</f>
        <v>4900</v>
      </c>
      <c r="N58" s="171">
        <f>'[1]ясли сады'!CF18</f>
        <v>162376.51749999999</v>
      </c>
      <c r="O58" s="19">
        <f>'[1]ясли сады'!DE18</f>
        <v>4200</v>
      </c>
      <c r="P58" s="19">
        <f>'[1]ясли сады'!DF18</f>
        <v>42420</v>
      </c>
      <c r="Q58" s="19">
        <f t="shared" si="12"/>
        <v>5744712.3920344561</v>
      </c>
      <c r="R58" s="19">
        <f t="shared" si="13"/>
        <v>5744712.3920344561</v>
      </c>
      <c r="S58" s="15"/>
      <c r="T58" s="251">
        <f t="shared" si="9"/>
        <v>229296.51750000054</v>
      </c>
      <c r="U58" s="251"/>
      <c r="V58" s="254"/>
      <c r="W58" s="251"/>
      <c r="X58" s="15"/>
      <c r="Y58" s="15"/>
      <c r="Z58" s="15"/>
      <c r="AA58" s="15"/>
      <c r="AB58" s="15"/>
      <c r="AC58" s="15"/>
    </row>
    <row r="59" spans="1:29" s="14" customFormat="1" ht="12.75" x14ac:dyDescent="0.2">
      <c r="A59" s="172">
        <v>46</v>
      </c>
      <c r="B59" s="98" t="str">
        <f>'[1]ясли сады'!B19</f>
        <v xml:space="preserve">МКДОУ "Орленок" с  Зило </v>
      </c>
      <c r="C59" s="19">
        <f t="shared" si="10"/>
        <v>2072003.5669027178</v>
      </c>
      <c r="D59" s="19">
        <f>'[1]ясли сады'!AQ19</f>
        <v>305173.19999999995</v>
      </c>
      <c r="E59" s="19">
        <f>'[1]ясли сады'!AZ19</f>
        <v>623077.8721764345</v>
      </c>
      <c r="F59" s="19">
        <f>'[1]ясли сады'!BG19</f>
        <v>341146.03949999996</v>
      </c>
      <c r="G59" s="19">
        <f>'[1]ясли сады'!BD19</f>
        <v>239602.5</v>
      </c>
      <c r="H59" s="19">
        <f t="shared" si="1"/>
        <v>1508999.6116764345</v>
      </c>
      <c r="I59" s="19">
        <f>'[1]ясли сады'!BT19</f>
        <v>5200</v>
      </c>
      <c r="J59" s="19">
        <f t="shared" si="11"/>
        <v>455717.88272628322</v>
      </c>
      <c r="K59" s="171">
        <v>0</v>
      </c>
      <c r="L59" s="171">
        <f>'[1]ясли сады'!BY19</f>
        <v>400</v>
      </c>
      <c r="M59" s="17">
        <f>'[1]ясли сады'!CE19</f>
        <v>1400</v>
      </c>
      <c r="N59" s="171">
        <f>'[1]ясли сады'!CF19</f>
        <v>86966.072499999995</v>
      </c>
      <c r="O59" s="19">
        <f>'[1]ясли сады'!DE19</f>
        <v>1200</v>
      </c>
      <c r="P59" s="19">
        <f>'[1]ясли сады'!DF19</f>
        <v>12120</v>
      </c>
      <c r="Q59" s="19">
        <f t="shared" si="12"/>
        <v>2072003.5669027178</v>
      </c>
      <c r="R59" s="19">
        <f t="shared" si="13"/>
        <v>2072003.5669027178</v>
      </c>
      <c r="S59" s="15"/>
      <c r="T59" s="251">
        <f t="shared" si="9"/>
        <v>106086.07250000007</v>
      </c>
      <c r="U59" s="251"/>
      <c r="V59" s="254"/>
      <c r="W59" s="251"/>
      <c r="X59" s="15"/>
      <c r="Y59" s="15"/>
      <c r="Z59" s="15"/>
      <c r="AA59" s="15"/>
      <c r="AB59" s="15"/>
      <c r="AC59" s="15"/>
    </row>
    <row r="60" spans="1:29" s="14" customFormat="1" ht="12.75" x14ac:dyDescent="0.2">
      <c r="A60" s="12">
        <v>47</v>
      </c>
      <c r="B60" s="98" t="str">
        <f>'[1]ясли сады'!B20</f>
        <v>МКДОУ "Золотой ключик" в/городок</v>
      </c>
      <c r="C60" s="19">
        <f t="shared" si="10"/>
        <v>5680207.2161621153</v>
      </c>
      <c r="D60" s="19">
        <f>'[1]ясли сады'!AQ20</f>
        <v>430968</v>
      </c>
      <c r="E60" s="19">
        <f>'[1]ясли сады'!AZ20</f>
        <v>1739680.0404726947</v>
      </c>
      <c r="F60" s="19">
        <f>'[1]ясли сады'!BG20</f>
        <v>1130090.3999999999</v>
      </c>
      <c r="G60" s="19">
        <f>'[1]ясли сады'!BD20</f>
        <v>833400</v>
      </c>
      <c r="H60" s="19">
        <f t="shared" si="1"/>
        <v>4134138.4404726946</v>
      </c>
      <c r="I60" s="19">
        <f>'[1]ясли сады'!BT20</f>
        <v>24700</v>
      </c>
      <c r="J60" s="19">
        <f>H60*30.2/100</f>
        <v>1248509.8090227537</v>
      </c>
      <c r="K60" s="171">
        <v>0</v>
      </c>
      <c r="L60" s="171">
        <f>'[1]ясли сады'!BY20</f>
        <v>1900</v>
      </c>
      <c r="M60" s="17">
        <f>'[1]ясли сады'!CE20</f>
        <v>6650</v>
      </c>
      <c r="N60" s="171">
        <f>'[1]ясли сады'!CF20</f>
        <v>201038.96666666667</v>
      </c>
      <c r="O60" s="19">
        <f>'[1]ясли сады'!DE20</f>
        <v>5700</v>
      </c>
      <c r="P60" s="19">
        <f>'[1]ясли сады'!DF20</f>
        <v>57570</v>
      </c>
      <c r="Q60" s="19">
        <f>C60</f>
        <v>5680207.2161621153</v>
      </c>
      <c r="R60" s="19">
        <f>Q60</f>
        <v>5680207.2161621153</v>
      </c>
      <c r="S60" s="15"/>
      <c r="T60" s="251"/>
      <c r="U60" s="251"/>
      <c r="V60" s="254"/>
      <c r="W60" s="251"/>
      <c r="X60" s="15"/>
      <c r="Y60" s="15"/>
      <c r="Z60" s="15"/>
      <c r="AA60" s="15"/>
      <c r="AB60" s="15"/>
      <c r="AC60" s="15"/>
    </row>
    <row r="61" spans="1:29" s="14" customFormat="1" ht="24" x14ac:dyDescent="0.2">
      <c r="A61" s="12"/>
      <c r="B61" s="175" t="s">
        <v>198</v>
      </c>
      <c r="C61" s="19">
        <f t="shared" si="10"/>
        <v>0</v>
      </c>
      <c r="D61" s="19"/>
      <c r="E61" s="19"/>
      <c r="F61" s="19">
        <f>'[1]ясли сады'!BG21</f>
        <v>0</v>
      </c>
      <c r="G61" s="19">
        <v>0</v>
      </c>
      <c r="H61" s="19">
        <f t="shared" si="1"/>
        <v>0</v>
      </c>
      <c r="I61" s="19">
        <f>'[1]ясли сады'!BT21</f>
        <v>0</v>
      </c>
      <c r="J61" s="19">
        <f>H61*30.2/100</f>
        <v>0</v>
      </c>
      <c r="K61" s="171"/>
      <c r="L61" s="171"/>
      <c r="M61" s="17"/>
      <c r="N61" s="171"/>
      <c r="O61" s="19"/>
      <c r="P61" s="19"/>
      <c r="Q61" s="19">
        <f>C61</f>
        <v>0</v>
      </c>
      <c r="R61" s="19">
        <f>Q61</f>
        <v>0</v>
      </c>
      <c r="S61" s="15"/>
      <c r="T61" s="251"/>
      <c r="U61" s="251"/>
      <c r="V61" s="254"/>
      <c r="W61" s="251"/>
      <c r="X61" s="15"/>
      <c r="Y61" s="15"/>
      <c r="Z61" s="15"/>
      <c r="AA61" s="15"/>
      <c r="AB61" s="15"/>
      <c r="AC61" s="15"/>
    </row>
    <row r="62" spans="1:29" s="14" customFormat="1" ht="12.75" x14ac:dyDescent="0.2">
      <c r="A62" s="12"/>
      <c r="B62" s="173" t="s">
        <v>129</v>
      </c>
      <c r="C62" s="18">
        <f t="shared" ref="C62:R62" si="14">SUM(C45:C61)</f>
        <v>121169999.79700521</v>
      </c>
      <c r="D62" s="18">
        <f t="shared" si="14"/>
        <v>9730934.3999999985</v>
      </c>
      <c r="E62" s="18">
        <f t="shared" si="14"/>
        <v>49734385.99980814</v>
      </c>
      <c r="F62" s="18">
        <f t="shared" si="14"/>
        <v>21981164.602499992</v>
      </c>
      <c r="G62" s="18">
        <f t="shared" si="14"/>
        <v>7733952</v>
      </c>
      <c r="H62" s="18">
        <f t="shared" si="14"/>
        <v>89180437.002308145</v>
      </c>
      <c r="I62" s="18">
        <f t="shared" si="14"/>
        <v>383241</v>
      </c>
      <c r="J62" s="18">
        <f t="shared" si="14"/>
        <v>26932491.974697053</v>
      </c>
      <c r="K62" s="18">
        <f t="shared" si="14"/>
        <v>0</v>
      </c>
      <c r="L62" s="18">
        <f t="shared" si="14"/>
        <v>29480</v>
      </c>
      <c r="M62" s="18">
        <f t="shared" si="14"/>
        <v>103180</v>
      </c>
      <c r="N62" s="18">
        <f t="shared" si="14"/>
        <v>3559485.82</v>
      </c>
      <c r="O62" s="18">
        <f t="shared" si="14"/>
        <v>88440</v>
      </c>
      <c r="P62" s="18">
        <f t="shared" si="14"/>
        <v>893244</v>
      </c>
      <c r="Q62" s="18">
        <f t="shared" si="14"/>
        <v>121169999.79700521</v>
      </c>
      <c r="R62" s="18">
        <f t="shared" si="14"/>
        <v>121169999.79700521</v>
      </c>
      <c r="S62" s="15"/>
      <c r="T62" s="251">
        <f>SUM(T45:T59)</f>
        <v>4676771.8533333316</v>
      </c>
      <c r="U62" s="251"/>
      <c r="V62" s="254"/>
      <c r="W62" s="251"/>
      <c r="X62" s="15"/>
      <c r="Y62" s="15"/>
      <c r="Z62" s="15"/>
      <c r="AA62" s="15"/>
      <c r="AB62" s="15"/>
      <c r="AC62" s="15"/>
    </row>
    <row r="63" spans="1:29" s="14" customFormat="1" ht="36" x14ac:dyDescent="0.2">
      <c r="A63" s="12"/>
      <c r="B63" s="176" t="s">
        <v>130</v>
      </c>
      <c r="C63" s="19"/>
      <c r="D63" s="19"/>
      <c r="E63" s="19"/>
      <c r="F63" s="19"/>
      <c r="G63" s="19"/>
      <c r="H63" s="19"/>
      <c r="I63" s="19"/>
      <c r="J63" s="19"/>
      <c r="K63" s="171"/>
      <c r="L63" s="171"/>
      <c r="M63" s="12"/>
      <c r="N63" s="171"/>
      <c r="O63" s="19"/>
      <c r="P63" s="19"/>
      <c r="Q63" s="19"/>
      <c r="R63" s="19"/>
      <c r="S63" s="15"/>
      <c r="T63" s="251"/>
      <c r="U63" s="251"/>
      <c r="V63" s="254"/>
      <c r="W63" s="251"/>
      <c r="X63" s="15"/>
      <c r="Y63" s="15"/>
      <c r="Z63" s="15"/>
      <c r="AA63" s="15"/>
      <c r="AB63" s="15"/>
      <c r="AC63" s="15"/>
    </row>
    <row r="64" spans="1:29" s="14" customFormat="1" ht="12.75" x14ac:dyDescent="0.2">
      <c r="A64" s="12">
        <v>1</v>
      </c>
      <c r="B64" s="177" t="str">
        <f>'[1]учительство  '!B42</f>
        <v xml:space="preserve">Инхело ООШ МКУ </v>
      </c>
      <c r="C64" s="19">
        <f>SUM(H64,J64)</f>
        <v>0</v>
      </c>
      <c r="D64" s="19"/>
      <c r="E64" s="19">
        <f>'[1]учительство  '!AM42</f>
        <v>0</v>
      </c>
      <c r="F64" s="19">
        <f>'[1]учительство  '!AD42</f>
        <v>0</v>
      </c>
      <c r="G64" s="19"/>
      <c r="H64" s="19">
        <f t="shared" ref="H64:H72" si="15">SUM(D64:G64)</f>
        <v>0</v>
      </c>
      <c r="I64" s="19"/>
      <c r="J64" s="19">
        <f>H64*30.2%</f>
        <v>0</v>
      </c>
      <c r="K64" s="171"/>
      <c r="L64" s="171"/>
      <c r="M64" s="12"/>
      <c r="N64" s="171">
        <v>0</v>
      </c>
      <c r="O64" s="19">
        <v>0</v>
      </c>
      <c r="P64" s="19">
        <v>0</v>
      </c>
      <c r="Q64" s="19">
        <f>C64</f>
        <v>0</v>
      </c>
      <c r="R64" s="19">
        <f>Q64</f>
        <v>0</v>
      </c>
      <c r="S64" s="15"/>
      <c r="T64" s="251"/>
      <c r="U64" s="251"/>
      <c r="V64" s="254"/>
      <c r="W64" s="251"/>
      <c r="X64" s="15"/>
      <c r="Y64" s="15"/>
      <c r="Z64" s="15"/>
      <c r="AA64" s="15"/>
      <c r="AB64" s="15"/>
      <c r="AC64" s="15"/>
    </row>
    <row r="65" spans="1:29" s="14" customFormat="1" ht="12.75" x14ac:dyDescent="0.2">
      <c r="A65" s="12">
        <v>2</v>
      </c>
      <c r="B65" s="177" t="str">
        <f>'[1]учительство  '!B43</f>
        <v>Кванхидатли ООШ МКУ</v>
      </c>
      <c r="C65" s="19">
        <f t="shared" ref="C65:C72" si="16">SUM(H65,J65)</f>
        <v>0</v>
      </c>
      <c r="D65" s="19"/>
      <c r="E65" s="19">
        <f>'[1]учительство  '!AM43</f>
        <v>0</v>
      </c>
      <c r="F65" s="19">
        <f>'[1]учительство  '!AD43</f>
        <v>0</v>
      </c>
      <c r="G65" s="19"/>
      <c r="H65" s="19">
        <f t="shared" si="15"/>
        <v>0</v>
      </c>
      <c r="I65" s="19"/>
      <c r="J65" s="19">
        <f t="shared" ref="J65:J72" si="17">H65*30.2%</f>
        <v>0</v>
      </c>
      <c r="K65" s="171"/>
      <c r="L65" s="171"/>
      <c r="M65" s="12"/>
      <c r="N65" s="171">
        <v>0</v>
      </c>
      <c r="O65" s="19">
        <v>0</v>
      </c>
      <c r="P65" s="19">
        <v>0</v>
      </c>
      <c r="Q65" s="19">
        <f t="shared" ref="Q65:Q72" si="18">C65</f>
        <v>0</v>
      </c>
      <c r="R65" s="19">
        <f t="shared" ref="R65:R72" si="19">Q65</f>
        <v>0</v>
      </c>
      <c r="S65" s="15"/>
      <c r="T65" s="251"/>
      <c r="U65" s="251"/>
      <c r="V65" s="254"/>
      <c r="W65" s="251"/>
      <c r="X65" s="15"/>
      <c r="Y65" s="15"/>
      <c r="Z65" s="15"/>
      <c r="AA65" s="15"/>
      <c r="AB65" s="15"/>
      <c r="AC65" s="15"/>
    </row>
    <row r="66" spans="1:29" s="14" customFormat="1" ht="12.75" x14ac:dyDescent="0.2">
      <c r="A66" s="12">
        <v>3</v>
      </c>
      <c r="B66" s="177" t="str">
        <f>'[1]учительство  '!B44</f>
        <v>Кижани ООШ МКУ</v>
      </c>
      <c r="C66" s="19">
        <f t="shared" si="16"/>
        <v>0</v>
      </c>
      <c r="D66" s="19"/>
      <c r="E66" s="19">
        <f>'[1]учительство  '!AM44</f>
        <v>0</v>
      </c>
      <c r="F66" s="19">
        <f>'[1]учительство  '!AD44</f>
        <v>0</v>
      </c>
      <c r="G66" s="19"/>
      <c r="H66" s="19">
        <f t="shared" si="15"/>
        <v>0</v>
      </c>
      <c r="I66" s="19"/>
      <c r="J66" s="19">
        <f t="shared" si="17"/>
        <v>0</v>
      </c>
      <c r="K66" s="171"/>
      <c r="L66" s="171"/>
      <c r="M66" s="12"/>
      <c r="N66" s="171">
        <v>0</v>
      </c>
      <c r="O66" s="19">
        <v>0</v>
      </c>
      <c r="P66" s="19">
        <v>0</v>
      </c>
      <c r="Q66" s="19">
        <f t="shared" si="18"/>
        <v>0</v>
      </c>
      <c r="R66" s="19">
        <f t="shared" si="19"/>
        <v>0</v>
      </c>
      <c r="S66" s="15"/>
      <c r="T66" s="251"/>
      <c r="U66" s="251"/>
      <c r="V66" s="254"/>
      <c r="W66" s="251"/>
      <c r="X66" s="15"/>
      <c r="Y66" s="15"/>
      <c r="Z66" s="15"/>
      <c r="AA66" s="15"/>
      <c r="AB66" s="15"/>
      <c r="AC66" s="15"/>
    </row>
    <row r="67" spans="1:29" s="14" customFormat="1" ht="12.75" x14ac:dyDescent="0.2">
      <c r="A67" s="12">
        <v>4</v>
      </c>
      <c r="B67" s="177" t="str">
        <f>'[1]учительство  '!B45</f>
        <v>Миарсо СОШ МКУ</v>
      </c>
      <c r="C67" s="19">
        <f t="shared" si="16"/>
        <v>0</v>
      </c>
      <c r="D67" s="19"/>
      <c r="E67" s="19">
        <f>'[1]учительство  '!AM45</f>
        <v>0</v>
      </c>
      <c r="F67" s="19">
        <f>'[1]учительство  '!AD45</f>
        <v>0</v>
      </c>
      <c r="G67" s="19"/>
      <c r="H67" s="19">
        <f t="shared" si="15"/>
        <v>0</v>
      </c>
      <c r="I67" s="19"/>
      <c r="J67" s="19">
        <f t="shared" si="17"/>
        <v>0</v>
      </c>
      <c r="K67" s="171"/>
      <c r="L67" s="171"/>
      <c r="M67" s="12"/>
      <c r="N67" s="171">
        <v>0</v>
      </c>
      <c r="O67" s="19">
        <v>0</v>
      </c>
      <c r="P67" s="19">
        <v>0</v>
      </c>
      <c r="Q67" s="19">
        <f t="shared" si="18"/>
        <v>0</v>
      </c>
      <c r="R67" s="19">
        <f t="shared" si="19"/>
        <v>0</v>
      </c>
      <c r="S67" s="15"/>
      <c r="T67" s="251"/>
      <c r="U67" s="251"/>
      <c r="V67" s="254"/>
      <c r="W67" s="251"/>
      <c r="X67" s="15"/>
      <c r="Y67" s="15"/>
      <c r="Z67" s="15"/>
      <c r="AA67" s="15"/>
      <c r="AB67" s="15"/>
      <c r="AC67" s="15"/>
    </row>
    <row r="68" spans="1:29" s="14" customFormat="1" ht="12.75" x14ac:dyDescent="0.2">
      <c r="A68" s="12">
        <v>5</v>
      </c>
      <c r="B68" s="177" t="str">
        <f>'[1]учительство  '!B46</f>
        <v>Ортоколо СОШ МКУ</v>
      </c>
      <c r="C68" s="19">
        <f t="shared" si="16"/>
        <v>0</v>
      </c>
      <c r="D68" s="19"/>
      <c r="E68" s="19">
        <f>'[1]учительство  '!AM46</f>
        <v>0</v>
      </c>
      <c r="F68" s="19">
        <f>'[1]учительство  '!AD46</f>
        <v>0</v>
      </c>
      <c r="G68" s="19"/>
      <c r="H68" s="19">
        <f t="shared" si="15"/>
        <v>0</v>
      </c>
      <c r="I68" s="19"/>
      <c r="J68" s="19">
        <f t="shared" si="17"/>
        <v>0</v>
      </c>
      <c r="K68" s="171"/>
      <c r="L68" s="171"/>
      <c r="M68" s="12"/>
      <c r="N68" s="171">
        <v>0</v>
      </c>
      <c r="O68" s="19">
        <v>0</v>
      </c>
      <c r="P68" s="19">
        <v>0</v>
      </c>
      <c r="Q68" s="19">
        <f t="shared" si="18"/>
        <v>0</v>
      </c>
      <c r="R68" s="19">
        <f t="shared" si="19"/>
        <v>0</v>
      </c>
      <c r="S68" s="15"/>
      <c r="T68" s="251"/>
      <c r="U68" s="251"/>
      <c r="V68" s="254"/>
      <c r="W68" s="251"/>
      <c r="X68" s="15"/>
      <c r="Y68" s="15"/>
      <c r="Z68" s="15"/>
      <c r="AA68" s="15"/>
      <c r="AB68" s="15"/>
      <c r="AC68" s="15"/>
    </row>
    <row r="69" spans="1:29" s="14" customFormat="1" ht="12.75" x14ac:dyDescent="0.2">
      <c r="A69" s="12">
        <v>6</v>
      </c>
      <c r="B69" s="177" t="str">
        <f>'[1]учительство  '!B47</f>
        <v>Риквани СОШ МКУ</v>
      </c>
      <c r="C69" s="19">
        <f t="shared" si="16"/>
        <v>0</v>
      </c>
      <c r="D69" s="19"/>
      <c r="E69" s="19">
        <f>'[1]учительство  '!AM47</f>
        <v>0</v>
      </c>
      <c r="F69" s="19">
        <f>'[1]учительство  '!AD47</f>
        <v>0</v>
      </c>
      <c r="G69" s="19"/>
      <c r="H69" s="19">
        <f t="shared" si="15"/>
        <v>0</v>
      </c>
      <c r="I69" s="19"/>
      <c r="J69" s="19">
        <f t="shared" si="17"/>
        <v>0</v>
      </c>
      <c r="K69" s="171"/>
      <c r="L69" s="171"/>
      <c r="M69" s="12"/>
      <c r="N69" s="171">
        <v>0</v>
      </c>
      <c r="O69" s="19">
        <v>0</v>
      </c>
      <c r="P69" s="19">
        <v>0</v>
      </c>
      <c r="Q69" s="19">
        <f t="shared" si="18"/>
        <v>0</v>
      </c>
      <c r="R69" s="19">
        <f t="shared" si="19"/>
        <v>0</v>
      </c>
      <c r="S69" s="15"/>
      <c r="T69" s="251"/>
      <c r="U69" s="251"/>
      <c r="V69" s="254"/>
      <c r="W69" s="251"/>
      <c r="X69" s="15"/>
      <c r="Y69" s="15"/>
      <c r="Z69" s="15"/>
      <c r="AA69" s="15"/>
      <c r="AB69" s="15"/>
      <c r="AC69" s="15"/>
    </row>
    <row r="70" spans="1:29" s="14" customFormat="1" ht="12.75" x14ac:dyDescent="0.2">
      <c r="A70" s="12">
        <v>7</v>
      </c>
      <c r="B70" s="177" t="str">
        <f>'[1]учительство  '!B48</f>
        <v>Тасута ООШ МКУ</v>
      </c>
      <c r="C70" s="19">
        <f t="shared" si="16"/>
        <v>0</v>
      </c>
      <c r="D70" s="19"/>
      <c r="E70" s="19">
        <f>'[1]учительство  '!AM48</f>
        <v>0</v>
      </c>
      <c r="F70" s="19">
        <f>'[1]учительство  '!AD48</f>
        <v>0</v>
      </c>
      <c r="G70" s="19"/>
      <c r="H70" s="19">
        <f t="shared" si="15"/>
        <v>0</v>
      </c>
      <c r="I70" s="19"/>
      <c r="J70" s="19">
        <f t="shared" si="17"/>
        <v>0</v>
      </c>
      <c r="K70" s="171"/>
      <c r="L70" s="171"/>
      <c r="M70" s="12"/>
      <c r="N70" s="171">
        <v>0</v>
      </c>
      <c r="O70" s="19">
        <v>0</v>
      </c>
      <c r="P70" s="19">
        <v>0</v>
      </c>
      <c r="Q70" s="19">
        <f t="shared" si="18"/>
        <v>0</v>
      </c>
      <c r="R70" s="19">
        <f t="shared" si="19"/>
        <v>0</v>
      </c>
      <c r="S70" s="15"/>
      <c r="T70" s="251"/>
      <c r="U70" s="251"/>
      <c r="V70" s="254"/>
      <c r="W70" s="251"/>
      <c r="X70" s="15"/>
      <c r="Y70" s="15"/>
      <c r="Z70" s="15"/>
      <c r="AA70" s="15"/>
      <c r="AB70" s="15"/>
      <c r="AC70" s="15"/>
    </row>
    <row r="71" spans="1:29" s="14" customFormat="1" ht="12.75" x14ac:dyDescent="0.2">
      <c r="A71" s="12">
        <v>8</v>
      </c>
      <c r="B71" s="177" t="str">
        <f>'[1]учительство  '!B49</f>
        <v>Хелетури СОШ МКУ</v>
      </c>
      <c r="C71" s="19">
        <f t="shared" si="16"/>
        <v>0</v>
      </c>
      <c r="D71" s="19"/>
      <c r="E71" s="19">
        <f>'[1]учительство  '!AM49</f>
        <v>0</v>
      </c>
      <c r="F71" s="19">
        <f>'[1]учительство  '!AD49</f>
        <v>0</v>
      </c>
      <c r="G71" s="19"/>
      <c r="H71" s="19">
        <f t="shared" si="15"/>
        <v>0</v>
      </c>
      <c r="I71" s="19"/>
      <c r="J71" s="19">
        <f t="shared" si="17"/>
        <v>0</v>
      </c>
      <c r="K71" s="171"/>
      <c r="L71" s="171"/>
      <c r="M71" s="12"/>
      <c r="N71" s="171">
        <v>0</v>
      </c>
      <c r="O71" s="19">
        <v>0</v>
      </c>
      <c r="P71" s="19">
        <v>0</v>
      </c>
      <c r="Q71" s="19">
        <f t="shared" si="18"/>
        <v>0</v>
      </c>
      <c r="R71" s="19">
        <f t="shared" si="19"/>
        <v>0</v>
      </c>
      <c r="S71" s="15"/>
      <c r="T71" s="251"/>
      <c r="U71" s="251"/>
      <c r="V71" s="254"/>
      <c r="W71" s="251"/>
      <c r="X71" s="15"/>
      <c r="Y71" s="15"/>
      <c r="Z71" s="15"/>
      <c r="AA71" s="15"/>
      <c r="AB71" s="15"/>
      <c r="AC71" s="15"/>
    </row>
    <row r="72" spans="1:29" s="14" customFormat="1" ht="12.75" x14ac:dyDescent="0.2">
      <c r="A72" s="12">
        <v>9</v>
      </c>
      <c r="B72" s="177" t="str">
        <f>'[1]учительство  '!B50</f>
        <v>Чанко СОШ МКУ</v>
      </c>
      <c r="C72" s="19">
        <f t="shared" si="16"/>
        <v>0</v>
      </c>
      <c r="D72" s="19"/>
      <c r="E72" s="19">
        <f>'[1]учительство  '!AM50</f>
        <v>0</v>
      </c>
      <c r="F72" s="19">
        <f>'[1]учительство  '!AD50</f>
        <v>0</v>
      </c>
      <c r="G72" s="19"/>
      <c r="H72" s="19">
        <f t="shared" si="15"/>
        <v>0</v>
      </c>
      <c r="I72" s="19"/>
      <c r="J72" s="19">
        <f t="shared" si="17"/>
        <v>0</v>
      </c>
      <c r="K72" s="171"/>
      <c r="L72" s="171"/>
      <c r="M72" s="12"/>
      <c r="N72" s="171">
        <v>0</v>
      </c>
      <c r="O72" s="19">
        <v>0</v>
      </c>
      <c r="P72" s="19">
        <v>0</v>
      </c>
      <c r="Q72" s="19">
        <f t="shared" si="18"/>
        <v>0</v>
      </c>
      <c r="R72" s="19">
        <f t="shared" si="19"/>
        <v>0</v>
      </c>
      <c r="S72" s="15"/>
      <c r="T72" s="251"/>
      <c r="U72" s="251"/>
      <c r="V72" s="254"/>
      <c r="W72" s="251"/>
      <c r="X72" s="15"/>
      <c r="Y72" s="15"/>
      <c r="Z72" s="15"/>
      <c r="AA72" s="15"/>
      <c r="AB72" s="15"/>
      <c r="AC72" s="15"/>
    </row>
    <row r="73" spans="1:29" s="14" customFormat="1" ht="12.75" x14ac:dyDescent="0.2">
      <c r="A73" s="12"/>
      <c r="B73" s="178" t="s">
        <v>131</v>
      </c>
      <c r="C73" s="18">
        <f>SUM(C64:C72)</f>
        <v>0</v>
      </c>
      <c r="D73" s="18">
        <f t="shared" ref="D73:R73" si="20">SUM(D64:D72)</f>
        <v>0</v>
      </c>
      <c r="E73" s="18">
        <f t="shared" si="20"/>
        <v>0</v>
      </c>
      <c r="F73" s="18">
        <f t="shared" si="20"/>
        <v>0</v>
      </c>
      <c r="G73" s="18"/>
      <c r="H73" s="18">
        <f t="shared" si="20"/>
        <v>0</v>
      </c>
      <c r="I73" s="18"/>
      <c r="J73" s="18">
        <f t="shared" si="20"/>
        <v>0</v>
      </c>
      <c r="K73" s="18">
        <f>SUM(K64:K72)</f>
        <v>0</v>
      </c>
      <c r="L73" s="174">
        <f t="shared" si="20"/>
        <v>0</v>
      </c>
      <c r="M73" s="174">
        <f t="shared" si="20"/>
        <v>0</v>
      </c>
      <c r="N73" s="18">
        <f t="shared" si="20"/>
        <v>0</v>
      </c>
      <c r="O73" s="18">
        <f t="shared" si="20"/>
        <v>0</v>
      </c>
      <c r="P73" s="18">
        <f t="shared" si="20"/>
        <v>0</v>
      </c>
      <c r="Q73" s="18">
        <f t="shared" si="20"/>
        <v>0</v>
      </c>
      <c r="R73" s="18">
        <f t="shared" si="20"/>
        <v>0</v>
      </c>
      <c r="S73" s="15"/>
      <c r="T73" s="251"/>
      <c r="U73" s="251"/>
      <c r="V73" s="254"/>
      <c r="W73" s="251"/>
      <c r="X73" s="15"/>
      <c r="Y73" s="15"/>
      <c r="Z73" s="15"/>
      <c r="AA73" s="15"/>
      <c r="AB73" s="15"/>
      <c r="AC73" s="15"/>
    </row>
    <row r="74" spans="1:29" s="16" customFormat="1" ht="12.75" x14ac:dyDescent="0.2">
      <c r="A74" s="20"/>
      <c r="B74" s="20" t="s">
        <v>115</v>
      </c>
      <c r="C74" s="96">
        <f>SUM(C44,C62,C73)</f>
        <v>615382999.45912516</v>
      </c>
      <c r="D74" s="96">
        <f t="shared" ref="D74:R74" si="21">SUM(D44,D62,D73)</f>
        <v>49077147.000000007</v>
      </c>
      <c r="E74" s="96">
        <f t="shared" si="21"/>
        <v>315032498.53980815</v>
      </c>
      <c r="F74" s="96">
        <f t="shared" si="21"/>
        <v>33550006.702499993</v>
      </c>
      <c r="G74" s="96"/>
      <c r="H74" s="96">
        <f t="shared" si="21"/>
        <v>461541679.06230813</v>
      </c>
      <c r="I74" s="96">
        <f t="shared" si="21"/>
        <v>383241</v>
      </c>
      <c r="J74" s="96">
        <f t="shared" si="21"/>
        <v>139385587.07681704</v>
      </c>
      <c r="K74" s="96">
        <f t="shared" si="21"/>
        <v>0</v>
      </c>
      <c r="L74" s="96">
        <f t="shared" si="21"/>
        <v>29480</v>
      </c>
      <c r="M74" s="96">
        <f t="shared" si="21"/>
        <v>103180</v>
      </c>
      <c r="N74" s="96">
        <f t="shared" si="21"/>
        <v>12958148.320000002</v>
      </c>
      <c r="O74" s="96">
        <f t="shared" si="21"/>
        <v>88440</v>
      </c>
      <c r="P74" s="96">
        <f t="shared" si="21"/>
        <v>893244</v>
      </c>
      <c r="Q74" s="96">
        <f t="shared" si="21"/>
        <v>615382999.45912516</v>
      </c>
      <c r="R74" s="96">
        <f t="shared" si="21"/>
        <v>615382999.45912516</v>
      </c>
      <c r="S74" s="6" t="s">
        <v>0</v>
      </c>
      <c r="T74" s="253"/>
      <c r="U74" s="253"/>
      <c r="V74" s="253"/>
      <c r="W74" s="253"/>
      <c r="X74" s="6"/>
      <c r="Y74" s="6"/>
      <c r="Z74" s="6"/>
      <c r="AA74" s="6"/>
      <c r="AB74" s="6"/>
      <c r="AC74" s="6"/>
    </row>
    <row r="75" spans="1:29" s="14" customFormat="1" ht="12.75" x14ac:dyDescent="0.2">
      <c r="J75" s="14" t="s">
        <v>0</v>
      </c>
      <c r="T75" s="21"/>
      <c r="U75" s="21"/>
      <c r="V75" s="21"/>
      <c r="W75" s="21"/>
    </row>
    <row r="76" spans="1:29" s="14" customFormat="1" ht="12.75" x14ac:dyDescent="0.2">
      <c r="B76" s="575" t="s">
        <v>0</v>
      </c>
      <c r="C76" s="575"/>
      <c r="D76" s="575"/>
      <c r="E76" s="575"/>
      <c r="F76" s="575"/>
      <c r="G76" s="575"/>
      <c r="H76" s="575"/>
      <c r="I76" s="575"/>
      <c r="J76" s="575"/>
      <c r="O76" s="14" t="s">
        <v>0</v>
      </c>
      <c r="T76" s="21"/>
    </row>
    <row r="77" spans="1:29" s="14" customFormat="1" ht="12.75" x14ac:dyDescent="0.2">
      <c r="B77" s="14" t="s">
        <v>305</v>
      </c>
      <c r="C77" s="21"/>
      <c r="S77" s="14" t="s">
        <v>0</v>
      </c>
      <c r="T77" s="21"/>
    </row>
    <row r="78" spans="1:29" s="14" customFormat="1" ht="12.75" x14ac:dyDescent="0.2">
      <c r="B78" s="255" t="s">
        <v>306</v>
      </c>
      <c r="C78" s="254">
        <f>'[1]Доходы №1'!E41*1000</f>
        <v>494213000</v>
      </c>
      <c r="J78" s="14" t="s">
        <v>0</v>
      </c>
    </row>
    <row r="79" spans="1:29" s="14" customFormat="1" ht="12.75" x14ac:dyDescent="0.2">
      <c r="B79" s="255" t="s">
        <v>307</v>
      </c>
      <c r="C79" s="254">
        <f>'[1]Доходы №1'!E42*1000</f>
        <v>121170000</v>
      </c>
      <c r="O79" s="256"/>
    </row>
    <row r="80" spans="1:29" s="14" customFormat="1" ht="12.75" x14ac:dyDescent="0.2">
      <c r="B80" s="14" t="s">
        <v>308</v>
      </c>
      <c r="C80" s="257">
        <f>C78-C44</f>
        <v>0.33788001537322998</v>
      </c>
    </row>
    <row r="81" spans="2:3" s="14" customFormat="1" ht="12.75" x14ac:dyDescent="0.2">
      <c r="B81" s="14" t="s">
        <v>309</v>
      </c>
      <c r="C81" s="257">
        <f>C79-(C62+C73)</f>
        <v>0.20299479365348816</v>
      </c>
    </row>
    <row r="82" spans="2:3" s="14" customFormat="1" ht="12.75" x14ac:dyDescent="0.2">
      <c r="C82" s="21"/>
    </row>
    <row r="83" spans="2:3" s="14" customFormat="1" ht="12.75" x14ac:dyDescent="0.2"/>
    <row r="84" spans="2:3" s="14" customFormat="1" ht="12.75" x14ac:dyDescent="0.2"/>
    <row r="85" spans="2:3" s="14" customFormat="1" ht="12.75" x14ac:dyDescent="0.2"/>
    <row r="86" spans="2:3" s="14" customFormat="1" ht="12.75" x14ac:dyDescent="0.2"/>
    <row r="87" spans="2:3" s="14" customFormat="1" ht="12.75" x14ac:dyDescent="0.2"/>
    <row r="88" spans="2:3" s="14" customFormat="1" ht="12.75" x14ac:dyDescent="0.2"/>
    <row r="89" spans="2:3" s="14" customFormat="1" ht="12.75" x14ac:dyDescent="0.2"/>
    <row r="90" spans="2:3" s="14" customFormat="1" ht="12.75" x14ac:dyDescent="0.2"/>
    <row r="91" spans="2:3" s="14" customFormat="1" ht="12.75" x14ac:dyDescent="0.2"/>
    <row r="92" spans="2:3" s="14" customFormat="1" ht="12.75" x14ac:dyDescent="0.2"/>
    <row r="93" spans="2:3" s="14" customFormat="1" ht="12.75" x14ac:dyDescent="0.2"/>
    <row r="94" spans="2:3" s="14" customFormat="1" ht="12.75" x14ac:dyDescent="0.2"/>
    <row r="95" spans="2:3" s="14" customFormat="1" ht="12.75" x14ac:dyDescent="0.2"/>
    <row r="96" spans="2:3" s="14" customFormat="1" ht="12.75" x14ac:dyDescent="0.2"/>
    <row r="97" spans="2:3" s="14" customFormat="1" ht="12.75" x14ac:dyDescent="0.2"/>
    <row r="98" spans="2:3" s="14" customFormat="1" ht="12.75" x14ac:dyDescent="0.2"/>
    <row r="99" spans="2:3" s="14" customFormat="1" ht="12.75" x14ac:dyDescent="0.2"/>
    <row r="100" spans="2:3" s="14" customFormat="1" ht="12.75" x14ac:dyDescent="0.2"/>
    <row r="101" spans="2:3" s="14" customFormat="1" ht="12.75" x14ac:dyDescent="0.2"/>
    <row r="102" spans="2:3" x14ac:dyDescent="0.25">
      <c r="B102" s="14"/>
      <c r="C102" s="14"/>
    </row>
  </sheetData>
  <mergeCells count="25">
    <mergeCell ref="B76:J76"/>
    <mergeCell ref="K11:K12"/>
    <mergeCell ref="L11:L12"/>
    <mergeCell ref="Q10:Q12"/>
    <mergeCell ref="D11:G11"/>
    <mergeCell ref="N11:N12"/>
    <mergeCell ref="O11:O12"/>
    <mergeCell ref="C10:C12"/>
    <mergeCell ref="I11:I12"/>
    <mergeCell ref="J11:J12"/>
    <mergeCell ref="M11:M12"/>
    <mergeCell ref="O10:P10"/>
    <mergeCell ref="P11:P12"/>
    <mergeCell ref="D10:F10"/>
    <mergeCell ref="H10:H12"/>
    <mergeCell ref="H5:R5"/>
    <mergeCell ref="O2:R2"/>
    <mergeCell ref="O3:R3"/>
    <mergeCell ref="O4:R4"/>
    <mergeCell ref="A10:A12"/>
    <mergeCell ref="B10:B12"/>
    <mergeCell ref="A6:R6"/>
    <mergeCell ref="A7:R7"/>
    <mergeCell ref="A8:R8"/>
    <mergeCell ref="R10:R12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3" sqref="C3:F3"/>
    </sheetView>
  </sheetViews>
  <sheetFormatPr defaultColWidth="8.7109375" defaultRowHeight="15" x14ac:dyDescent="0.25"/>
  <cols>
    <col min="1" max="1" width="3.28515625" style="29" customWidth="1"/>
    <col min="2" max="2" width="27.5703125" style="29" customWidth="1"/>
    <col min="3" max="3" width="9.5703125" style="29" customWidth="1"/>
    <col min="4" max="4" width="10" style="29" customWidth="1"/>
    <col min="5" max="5" width="10.140625" style="29" customWidth="1"/>
    <col min="6" max="7" width="9.85546875" style="29" customWidth="1"/>
    <col min="8" max="10" width="8.7109375" style="29"/>
    <col min="11" max="11" width="24.85546875" style="29" customWidth="1"/>
    <col min="12" max="21" width="8.7109375" style="29"/>
    <col min="22" max="22" width="10" style="29" bestFit="1" customWidth="1"/>
    <col min="23" max="16384" width="8.7109375" style="29"/>
  </cols>
  <sheetData>
    <row r="1" spans="1:9" s="14" customFormat="1" ht="12.75" x14ac:dyDescent="0.2">
      <c r="C1" s="593" t="s">
        <v>606</v>
      </c>
      <c r="D1" s="593"/>
      <c r="E1" s="593"/>
      <c r="F1" s="593"/>
    </row>
    <row r="2" spans="1:9" s="14" customFormat="1" ht="12.75" x14ac:dyDescent="0.2">
      <c r="B2" s="99"/>
      <c r="C2" s="593" t="s">
        <v>603</v>
      </c>
      <c r="D2" s="593"/>
      <c r="E2" s="593"/>
      <c r="F2" s="593"/>
    </row>
    <row r="3" spans="1:9" s="14" customFormat="1" ht="12.75" x14ac:dyDescent="0.2">
      <c r="B3" s="451"/>
      <c r="C3" s="593" t="s">
        <v>626</v>
      </c>
      <c r="D3" s="593"/>
      <c r="E3" s="593"/>
      <c r="F3" s="593"/>
    </row>
    <row r="4" spans="1:9" s="14" customFormat="1" ht="12.75" x14ac:dyDescent="0.2">
      <c r="B4" s="99"/>
      <c r="C4" s="593"/>
      <c r="D4" s="593"/>
      <c r="E4" s="593"/>
      <c r="F4" s="593"/>
    </row>
    <row r="5" spans="1:9" s="14" customFormat="1" ht="12.75" x14ac:dyDescent="0.2">
      <c r="A5" s="573" t="s">
        <v>237</v>
      </c>
      <c r="B5" s="573"/>
      <c r="C5" s="573"/>
      <c r="D5" s="573"/>
      <c r="E5" s="573"/>
      <c r="F5" s="573"/>
    </row>
    <row r="6" spans="1:9" s="14" customFormat="1" ht="12.75" x14ac:dyDescent="0.2">
      <c r="A6" s="573" t="s">
        <v>238</v>
      </c>
      <c r="B6" s="573"/>
      <c r="C6" s="573"/>
      <c r="D6" s="573"/>
      <c r="E6" s="573"/>
      <c r="F6" s="573"/>
    </row>
    <row r="7" spans="1:9" s="14" customFormat="1" ht="12.75" x14ac:dyDescent="0.2">
      <c r="A7" s="573" t="s">
        <v>239</v>
      </c>
      <c r="B7" s="573"/>
      <c r="C7" s="573"/>
      <c r="D7" s="573"/>
      <c r="E7" s="573"/>
      <c r="F7" s="573"/>
    </row>
    <row r="8" spans="1:9" s="14" customFormat="1" ht="12.75" x14ac:dyDescent="0.2">
      <c r="A8" s="573" t="s">
        <v>240</v>
      </c>
      <c r="B8" s="573"/>
      <c r="C8" s="573"/>
      <c r="D8" s="573"/>
      <c r="E8" s="573"/>
      <c r="F8" s="573"/>
    </row>
    <row r="9" spans="1:9" s="14" customFormat="1" ht="12.75" x14ac:dyDescent="0.2">
      <c r="A9" s="573" t="s">
        <v>310</v>
      </c>
      <c r="B9" s="573"/>
      <c r="C9" s="573"/>
      <c r="D9" s="573"/>
      <c r="E9" s="573"/>
      <c r="F9" s="573"/>
    </row>
    <row r="10" spans="1:9" s="14" customFormat="1" ht="12.75" x14ac:dyDescent="0.2">
      <c r="B10" s="14" t="s">
        <v>0</v>
      </c>
      <c r="F10" s="100" t="s">
        <v>134</v>
      </c>
    </row>
    <row r="11" spans="1:9" s="14" customFormat="1" ht="76.5" x14ac:dyDescent="0.2">
      <c r="A11" s="223" t="s">
        <v>3</v>
      </c>
      <c r="B11" s="223" t="s">
        <v>118</v>
      </c>
      <c r="C11" s="223" t="s">
        <v>241</v>
      </c>
      <c r="D11" s="223" t="s">
        <v>311</v>
      </c>
      <c r="E11" s="223" t="s">
        <v>231</v>
      </c>
      <c r="F11" s="223" t="s">
        <v>266</v>
      </c>
      <c r="G11" s="15"/>
      <c r="H11" s="15"/>
      <c r="I11" s="15"/>
    </row>
    <row r="12" spans="1:9" s="102" customFormat="1" ht="12.75" x14ac:dyDescent="0.2">
      <c r="A12" s="20">
        <v>1</v>
      </c>
      <c r="B12" s="20" t="str">
        <f>'[1]учительство  '!B5</f>
        <v xml:space="preserve"> МКОУ Алак СОШ лицей</v>
      </c>
      <c r="C12" s="179">
        <f>'[1]учительство  '!S5</f>
        <v>2</v>
      </c>
      <c r="D12" s="180">
        <f>[1]Школы!CH10</f>
        <v>51948.82</v>
      </c>
      <c r="E12" s="197">
        <f>[1]Школы!CH10</f>
        <v>51948.82</v>
      </c>
      <c r="F12" s="17">
        <f>[1]Школы!CH10</f>
        <v>51948.82</v>
      </c>
    </row>
    <row r="13" spans="1:9" s="14" customFormat="1" ht="12.75" x14ac:dyDescent="0.2">
      <c r="A13" s="20">
        <v>2</v>
      </c>
      <c r="B13" s="20" t="str">
        <f>'[1]учительство  '!B6</f>
        <v xml:space="preserve"> МКОУ Анди СОШ №1</v>
      </c>
      <c r="C13" s="179">
        <f>'[1]учительство  '!S6</f>
        <v>5</v>
      </c>
      <c r="D13" s="180">
        <f>[1]Школы!CH11</f>
        <v>129872.05</v>
      </c>
      <c r="E13" s="197">
        <f>[1]Школы!CH11</f>
        <v>129872.05</v>
      </c>
      <c r="F13" s="17">
        <f>[1]Школы!CH11</f>
        <v>129872.05</v>
      </c>
      <c r="G13" s="15"/>
      <c r="H13" s="15"/>
      <c r="I13" s="15" t="s">
        <v>0</v>
      </c>
    </row>
    <row r="14" spans="1:9" s="14" customFormat="1" ht="12.75" x14ac:dyDescent="0.2">
      <c r="A14" s="20">
        <v>3</v>
      </c>
      <c r="B14" s="20" t="str">
        <f>'[1]учительство  '!B7</f>
        <v xml:space="preserve"> МКОУ Анди СОШ №2 </v>
      </c>
      <c r="C14" s="179">
        <f>'[1]учительство  '!S7</f>
        <v>2</v>
      </c>
      <c r="D14" s="180">
        <f>[1]Школы!CH12</f>
        <v>51948.82</v>
      </c>
      <c r="E14" s="197">
        <f>[1]Школы!CH12</f>
        <v>51948.82</v>
      </c>
      <c r="F14" s="17">
        <f>[1]Школы!CH12</f>
        <v>51948.82</v>
      </c>
      <c r="G14" s="15"/>
      <c r="H14" s="15"/>
      <c r="I14" s="15"/>
    </row>
    <row r="15" spans="1:9" s="14" customFormat="1" ht="12.75" x14ac:dyDescent="0.2">
      <c r="A15" s="20">
        <v>4</v>
      </c>
      <c r="B15" s="20" t="str">
        <f>'[1]учительство  '!B8</f>
        <v xml:space="preserve"> МКОУ Ансалта СОШ</v>
      </c>
      <c r="C15" s="179">
        <f>'[1]учительство  '!S8</f>
        <v>4</v>
      </c>
      <c r="D15" s="180">
        <f>[1]Школы!CH13</f>
        <v>103897.64</v>
      </c>
      <c r="E15" s="197">
        <f>[1]Школы!CH13</f>
        <v>103897.64</v>
      </c>
      <c r="F15" s="17">
        <f>[1]Школы!CH13</f>
        <v>103897.64</v>
      </c>
      <c r="G15" s="15"/>
      <c r="H15" s="15"/>
      <c r="I15" s="15"/>
    </row>
    <row r="16" spans="1:9" s="14" customFormat="1" ht="12.75" x14ac:dyDescent="0.2">
      <c r="A16" s="20">
        <v>5</v>
      </c>
      <c r="B16" s="20" t="str">
        <f>'[1]учительство  '!B9</f>
        <v xml:space="preserve"> МКОУ Ашали ООШ</v>
      </c>
      <c r="C16" s="179">
        <f>'[1]учительство  '!S9</f>
        <v>0</v>
      </c>
      <c r="D16" s="180">
        <f>[1]Школы!CH14</f>
        <v>0</v>
      </c>
      <c r="E16" s="197">
        <f>[1]Школы!CH14</f>
        <v>0</v>
      </c>
      <c r="F16" s="17">
        <f>[1]Школы!CH14</f>
        <v>0</v>
      </c>
      <c r="G16" s="15"/>
      <c r="H16" s="15"/>
      <c r="I16" s="15"/>
    </row>
    <row r="17" spans="1:9" s="14" customFormat="1" ht="12.75" x14ac:dyDescent="0.2">
      <c r="A17" s="20">
        <v>6</v>
      </c>
      <c r="B17" s="20" t="str">
        <f>'[1]учительство  '!B10</f>
        <v xml:space="preserve">МКОУ БСШ №1 </v>
      </c>
      <c r="C17" s="179">
        <f>'[1]учительство  '!S10</f>
        <v>10</v>
      </c>
      <c r="D17" s="180">
        <f>[1]Школы!CH15</f>
        <v>259744.1</v>
      </c>
      <c r="E17" s="197">
        <f>[1]Школы!CH15</f>
        <v>259744.1</v>
      </c>
      <c r="F17" s="17">
        <f>[1]Школы!CH15</f>
        <v>259744.1</v>
      </c>
      <c r="G17" s="15"/>
      <c r="H17" s="15"/>
      <c r="I17" s="15" t="s">
        <v>136</v>
      </c>
    </row>
    <row r="18" spans="1:9" s="14" customFormat="1" ht="12.75" x14ac:dyDescent="0.2">
      <c r="A18" s="20">
        <v>7</v>
      </c>
      <c r="B18" s="20" t="str">
        <f>'[1]учительство  '!B11</f>
        <v xml:space="preserve"> МКОУ БСШ №2</v>
      </c>
      <c r="C18" s="179">
        <f>'[1]учительство  '!S11</f>
        <v>11</v>
      </c>
      <c r="D18" s="180">
        <f>[1]Школы!CH16</f>
        <v>285718.51</v>
      </c>
      <c r="E18" s="197">
        <f>[1]Школы!CH16</f>
        <v>285718.51</v>
      </c>
      <c r="F18" s="17">
        <f>[1]Школы!CH16</f>
        <v>285718.51</v>
      </c>
      <c r="G18" s="15"/>
      <c r="H18" s="15" t="s">
        <v>0</v>
      </c>
      <c r="I18" s="15"/>
    </row>
    <row r="19" spans="1:9" s="14" customFormat="1" ht="12.75" x14ac:dyDescent="0.2">
      <c r="A19" s="20">
        <v>8</v>
      </c>
      <c r="B19" s="20" t="str">
        <f>'[1]учительство  '!B12</f>
        <v xml:space="preserve">МКОУ БСШ №3 </v>
      </c>
      <c r="C19" s="179">
        <f>'[1]учительство  '!S12</f>
        <v>1</v>
      </c>
      <c r="D19" s="180">
        <f>[1]Школы!CH17</f>
        <v>25974.41</v>
      </c>
      <c r="E19" s="197">
        <f>[1]Школы!CH17</f>
        <v>25974.41</v>
      </c>
      <c r="F19" s="17">
        <f>[1]Школы!CH17</f>
        <v>25974.41</v>
      </c>
      <c r="G19" s="15"/>
      <c r="H19" s="15"/>
      <c r="I19" s="15"/>
    </row>
    <row r="20" spans="1:9" s="14" customFormat="1" ht="12.75" x14ac:dyDescent="0.2">
      <c r="A20" s="20">
        <v>9</v>
      </c>
      <c r="B20" s="20" t="str">
        <f>'[1]учительство  '!B13</f>
        <v xml:space="preserve">МКОУ Гагатли СОШ </v>
      </c>
      <c r="C20" s="179">
        <f>'[1]учительство  '!S13</f>
        <v>0</v>
      </c>
      <c r="D20" s="180">
        <f>[1]Школы!CH18</f>
        <v>0</v>
      </c>
      <c r="E20" s="197">
        <f>[1]Школы!CH18</f>
        <v>0</v>
      </c>
      <c r="F20" s="17">
        <f>[1]Школы!CH18</f>
        <v>0</v>
      </c>
      <c r="G20" s="15"/>
      <c r="H20" s="15"/>
      <c r="I20" s="15"/>
    </row>
    <row r="21" spans="1:9" s="14" customFormat="1" ht="12.75" x14ac:dyDescent="0.2">
      <c r="A21" s="20">
        <v>10</v>
      </c>
      <c r="B21" s="20" t="str">
        <f>'[1]учительство  '!B14</f>
        <v xml:space="preserve"> МКОУ Годобери СОШ  </v>
      </c>
      <c r="C21" s="179">
        <f>'[1]учительство  '!S14</f>
        <v>3</v>
      </c>
      <c r="D21" s="180">
        <f>[1]Школы!CH19</f>
        <v>77923.23</v>
      </c>
      <c r="E21" s="197">
        <f>[1]Школы!CH19</f>
        <v>77923.23</v>
      </c>
      <c r="F21" s="17">
        <f>[1]Школы!CH19</f>
        <v>77923.23</v>
      </c>
      <c r="G21" s="15"/>
      <c r="H21" s="15" t="s">
        <v>136</v>
      </c>
      <c r="I21" s="15"/>
    </row>
    <row r="22" spans="1:9" s="14" customFormat="1" ht="12.75" x14ac:dyDescent="0.2">
      <c r="A22" s="20">
        <v>11</v>
      </c>
      <c r="B22" s="20" t="str">
        <f>'[1]учительство  '!B15</f>
        <v xml:space="preserve"> МКОУ Зило СОШ  </v>
      </c>
      <c r="C22" s="179">
        <f>'[1]учительство  '!S15</f>
        <v>1</v>
      </c>
      <c r="D22" s="180">
        <f>[1]Школы!CH20</f>
        <v>25974.41</v>
      </c>
      <c r="E22" s="197">
        <f>[1]Школы!CH20</f>
        <v>25974.41</v>
      </c>
      <c r="F22" s="17">
        <f>[1]Школы!CH20</f>
        <v>25974.41</v>
      </c>
      <c r="G22" s="15"/>
      <c r="H22" s="15"/>
      <c r="I22" s="15"/>
    </row>
    <row r="23" spans="1:9" s="14" customFormat="1" ht="12.75" x14ac:dyDescent="0.2">
      <c r="A23" s="20">
        <v>12</v>
      </c>
      <c r="B23" s="20" t="str">
        <f>'[1]учительство  '!B16</f>
        <v xml:space="preserve"> МКОУ Кванхидатли ООШ  </v>
      </c>
      <c r="C23" s="179">
        <f>'[1]учительство  '!S16</f>
        <v>1</v>
      </c>
      <c r="D23" s="180">
        <f>[1]Школы!CH21</f>
        <v>25974.41</v>
      </c>
      <c r="E23" s="197">
        <f>[1]Школы!CH21</f>
        <v>25974.41</v>
      </c>
      <c r="F23" s="17">
        <f>[1]Школы!CH21</f>
        <v>25974.41</v>
      </c>
      <c r="G23" s="15"/>
      <c r="H23" s="15"/>
      <c r="I23" s="15"/>
    </row>
    <row r="24" spans="1:9" s="14" customFormat="1" ht="12.75" x14ac:dyDescent="0.2">
      <c r="A24" s="20">
        <v>13</v>
      </c>
      <c r="B24" s="20" t="str">
        <f>'[1]учительство  '!B17</f>
        <v xml:space="preserve"> МКОУ Миарсо СОШ  </v>
      </c>
      <c r="C24" s="179">
        <f>'[1]учительство  '!S17</f>
        <v>3</v>
      </c>
      <c r="D24" s="180">
        <f>[1]Школы!CH22</f>
        <v>77923.23</v>
      </c>
      <c r="E24" s="197">
        <f>[1]Школы!CH22</f>
        <v>77923.23</v>
      </c>
      <c r="F24" s="17">
        <f>[1]Школы!CH22</f>
        <v>77923.23</v>
      </c>
      <c r="G24" s="15"/>
      <c r="H24" s="15"/>
      <c r="I24" s="15"/>
    </row>
    <row r="25" spans="1:9" s="14" customFormat="1" ht="12.75" x14ac:dyDescent="0.2">
      <c r="A25" s="20">
        <v>14</v>
      </c>
      <c r="B25" s="20" t="str">
        <f>'[1]учительство  '!B18</f>
        <v xml:space="preserve"> МКОУ Муни СОШ  </v>
      </c>
      <c r="C25" s="179">
        <f>'[1]учительство  '!S18</f>
        <v>5</v>
      </c>
      <c r="D25" s="180">
        <f>[1]Школы!CH23</f>
        <v>129872.05</v>
      </c>
      <c r="E25" s="197">
        <f>[1]Школы!CH23</f>
        <v>129872.05</v>
      </c>
      <c r="F25" s="17">
        <f>[1]Школы!CH23</f>
        <v>129872.05</v>
      </c>
      <c r="G25" s="15"/>
      <c r="H25" s="15"/>
      <c r="I25" s="15"/>
    </row>
    <row r="26" spans="1:9" s="14" customFormat="1" ht="12.75" x14ac:dyDescent="0.2">
      <c r="A26" s="20">
        <v>15</v>
      </c>
      <c r="B26" s="20" t="str">
        <f>'[1]учительство  '!B19</f>
        <v xml:space="preserve"> МКОУ Ортоколо СОШ  </v>
      </c>
      <c r="C26" s="179">
        <f>'[1]учительство  '!S19</f>
        <v>1</v>
      </c>
      <c r="D26" s="180">
        <f>[1]Школы!CH24</f>
        <v>25974.41</v>
      </c>
      <c r="E26" s="197">
        <f>[1]Школы!CH24</f>
        <v>25974.41</v>
      </c>
      <c r="F26" s="17">
        <f>[1]Школы!CH24</f>
        <v>25974.41</v>
      </c>
      <c r="G26" s="15"/>
      <c r="H26" s="15"/>
      <c r="I26" s="15"/>
    </row>
    <row r="27" spans="1:9" s="14" customFormat="1" ht="12.75" x14ac:dyDescent="0.2">
      <c r="A27" s="20">
        <v>16</v>
      </c>
      <c r="B27" s="20" t="str">
        <f>'[1]учительство  '!B20</f>
        <v xml:space="preserve"> МКОУ Рахата СОШ  </v>
      </c>
      <c r="C27" s="179">
        <f>'[1]учительство  '!S20</f>
        <v>2</v>
      </c>
      <c r="D27" s="180">
        <f>[1]Школы!CH25</f>
        <v>51948.82</v>
      </c>
      <c r="E27" s="197">
        <f>[1]Школы!CH25</f>
        <v>51948.82</v>
      </c>
      <c r="F27" s="17">
        <f>[1]Школы!CH25</f>
        <v>51948.82</v>
      </c>
      <c r="G27" s="15"/>
      <c r="H27" s="15"/>
      <c r="I27" s="15"/>
    </row>
    <row r="28" spans="1:9" s="14" customFormat="1" ht="12.75" x14ac:dyDescent="0.2">
      <c r="A28" s="20">
        <v>17</v>
      </c>
      <c r="B28" s="20" t="str">
        <f>'[1]учительство  '!B21</f>
        <v xml:space="preserve"> МКОУ Риквани СОШ  </v>
      </c>
      <c r="C28" s="179">
        <f>'[1]учительство  '!S21</f>
        <v>0</v>
      </c>
      <c r="D28" s="180">
        <f>[1]Школы!CH26</f>
        <v>0</v>
      </c>
      <c r="E28" s="197">
        <f>[1]Школы!CH26</f>
        <v>0</v>
      </c>
      <c r="F28" s="17">
        <f>[1]Школы!CH26</f>
        <v>0</v>
      </c>
      <c r="G28" s="15"/>
      <c r="H28" s="15"/>
      <c r="I28" s="15"/>
    </row>
    <row r="29" spans="1:9" s="14" customFormat="1" ht="12.75" x14ac:dyDescent="0.2">
      <c r="A29" s="20">
        <v>18</v>
      </c>
      <c r="B29" s="20" t="str">
        <f>'[1]учительство  '!B22</f>
        <v xml:space="preserve"> МКОУ Тандо СОШ  </v>
      </c>
      <c r="C29" s="179">
        <f>'[1]учительство  '!S22</f>
        <v>1</v>
      </c>
      <c r="D29" s="180">
        <f>[1]Школы!CH27</f>
        <v>25974.41</v>
      </c>
      <c r="E29" s="197">
        <f>[1]Школы!CH27</f>
        <v>25974.41</v>
      </c>
      <c r="F29" s="17">
        <f>[1]Школы!CH27</f>
        <v>25974.41</v>
      </c>
      <c r="G29" s="15"/>
      <c r="H29" s="15"/>
      <c r="I29" s="15"/>
    </row>
    <row r="30" spans="1:9" s="14" customFormat="1" ht="12.75" x14ac:dyDescent="0.2">
      <c r="A30" s="20">
        <v>19</v>
      </c>
      <c r="B30" s="20" t="str">
        <f>'[1]учительство  '!B23</f>
        <v xml:space="preserve"> МКОУ Тасута ООШ  </v>
      </c>
      <c r="C30" s="179">
        <f>'[1]учительство  '!S23</f>
        <v>0</v>
      </c>
      <c r="D30" s="180">
        <f>[1]Школы!CH28</f>
        <v>0</v>
      </c>
      <c r="E30" s="197">
        <f>[1]Школы!CH28</f>
        <v>0</v>
      </c>
      <c r="F30" s="17">
        <f>[1]Школы!CH28</f>
        <v>0</v>
      </c>
      <c r="G30" s="15"/>
      <c r="H30" s="15"/>
      <c r="I30" s="15"/>
    </row>
    <row r="31" spans="1:9" s="14" customFormat="1" ht="12.75" x14ac:dyDescent="0.2">
      <c r="A31" s="20">
        <v>20</v>
      </c>
      <c r="B31" s="20" t="str">
        <f>'[1]учительство  '!B24</f>
        <v xml:space="preserve"> МКОУ Тлох СОШ  </v>
      </c>
      <c r="C31" s="179">
        <f>'[1]учительство  '!S24</f>
        <v>16</v>
      </c>
      <c r="D31" s="180">
        <f>[1]Школы!CH29</f>
        <v>415590.56</v>
      </c>
      <c r="E31" s="197">
        <f>[1]Школы!CH29</f>
        <v>415590.56</v>
      </c>
      <c r="F31" s="17">
        <f>[1]Школы!CH29</f>
        <v>415590.56</v>
      </c>
      <c r="G31" s="15"/>
      <c r="H31" s="15"/>
      <c r="I31" s="15"/>
    </row>
    <row r="32" spans="1:9" s="14" customFormat="1" ht="12.75" x14ac:dyDescent="0.2">
      <c r="A32" s="20">
        <v>21</v>
      </c>
      <c r="B32" s="20" t="str">
        <f>'[1]учительство  '!B25</f>
        <v xml:space="preserve"> МКОУ Хелетури СОШ  </v>
      </c>
      <c r="C32" s="179">
        <f>'[1]учительство  '!S25</f>
        <v>0</v>
      </c>
      <c r="D32" s="180">
        <f>[1]Школы!CH30</f>
        <v>0</v>
      </c>
      <c r="E32" s="197">
        <f>[1]Школы!CH30</f>
        <v>0</v>
      </c>
      <c r="F32" s="17">
        <f>[1]Школы!CH30</f>
        <v>0</v>
      </c>
      <c r="G32" s="15"/>
      <c r="H32" s="15"/>
      <c r="I32" s="15"/>
    </row>
    <row r="33" spans="1:9" s="14" customFormat="1" ht="12.75" x14ac:dyDescent="0.2">
      <c r="A33" s="20">
        <v>22</v>
      </c>
      <c r="B33" s="20" t="str">
        <f>'[1]учительство  '!B26</f>
        <v xml:space="preserve"> МКОУ Чанко СОШ  </v>
      </c>
      <c r="C33" s="179">
        <f>'[1]учительство  '!S26</f>
        <v>1</v>
      </c>
      <c r="D33" s="180">
        <f>[1]Школы!CH31</f>
        <v>25974.41</v>
      </c>
      <c r="E33" s="197">
        <f>[1]Школы!CH31</f>
        <v>25974.41</v>
      </c>
      <c r="F33" s="17">
        <f>[1]Школы!CH31</f>
        <v>25974.41</v>
      </c>
      <c r="G33" s="15"/>
      <c r="H33" s="15"/>
      <c r="I33" s="15"/>
    </row>
    <row r="34" spans="1:9" s="14" customFormat="1" ht="12.75" x14ac:dyDescent="0.2">
      <c r="A34" s="20">
        <v>23</v>
      </c>
      <c r="B34" s="20" t="str">
        <f>'[1]учительство  '!B27</f>
        <v xml:space="preserve"> МКОУ Шодрода СОШ  </v>
      </c>
      <c r="C34" s="179">
        <f>'[1]учительство  '!S27</f>
        <v>0</v>
      </c>
      <c r="D34" s="180">
        <f>[1]Школы!CH32</f>
        <v>0</v>
      </c>
      <c r="E34" s="197">
        <f>[1]Школы!CH32</f>
        <v>0</v>
      </c>
      <c r="F34" s="17">
        <f>[1]Школы!CH32</f>
        <v>0</v>
      </c>
      <c r="G34" s="15"/>
      <c r="H34" s="15"/>
      <c r="I34" s="15"/>
    </row>
    <row r="35" spans="1:9" s="14" customFormat="1" ht="12.75" x14ac:dyDescent="0.2">
      <c r="A35" s="20">
        <v>24</v>
      </c>
      <c r="B35" s="20" t="str">
        <f>'[1]учительство  '!B28</f>
        <v xml:space="preserve"> МКОУ Инхело ООШ  </v>
      </c>
      <c r="C35" s="179">
        <f>'[1]учительство  '!S28</f>
        <v>0</v>
      </c>
      <c r="D35" s="180">
        <f>[1]Школы!CH33</f>
        <v>0</v>
      </c>
      <c r="E35" s="197">
        <f>[1]Школы!CH33</f>
        <v>0</v>
      </c>
      <c r="F35" s="17">
        <f>[1]Школы!CH33</f>
        <v>0</v>
      </c>
      <c r="G35" s="15"/>
      <c r="H35" s="15"/>
      <c r="I35" s="15"/>
    </row>
    <row r="36" spans="1:9" s="14" customFormat="1" ht="12.75" x14ac:dyDescent="0.2">
      <c r="A36" s="20">
        <v>25</v>
      </c>
      <c r="B36" s="20" t="str">
        <f>'[1]учительство  '!B29</f>
        <v xml:space="preserve"> МКОУ Кижани ООШ  </v>
      </c>
      <c r="C36" s="179">
        <f>'[1]учительство  '!S29</f>
        <v>0</v>
      </c>
      <c r="D36" s="180">
        <f>[1]Школы!CH34</f>
        <v>0</v>
      </c>
      <c r="E36" s="197">
        <f>[1]Школы!CH34</f>
        <v>0</v>
      </c>
      <c r="F36" s="17">
        <f>[1]Школы!CH34</f>
        <v>0</v>
      </c>
      <c r="G36" s="15"/>
      <c r="H36" s="15"/>
      <c r="I36" s="15"/>
    </row>
    <row r="37" spans="1:9" s="14" customFormat="1" ht="12.75" x14ac:dyDescent="0.2">
      <c r="A37" s="20">
        <v>26</v>
      </c>
      <c r="B37" s="20" t="str">
        <f>'[1]учительство  '!B30</f>
        <v xml:space="preserve"> МКОУ Беледи НОШ  </v>
      </c>
      <c r="C37" s="179">
        <f>'[1]учительство  '!S30</f>
        <v>0</v>
      </c>
      <c r="D37" s="180">
        <f>[1]Школы!CH35</f>
        <v>0</v>
      </c>
      <c r="E37" s="197">
        <f>[1]Школы!CH35</f>
        <v>0</v>
      </c>
      <c r="F37" s="17">
        <f>[1]Школы!CH35</f>
        <v>0</v>
      </c>
      <c r="G37" s="15"/>
      <c r="H37" s="15"/>
      <c r="I37" s="15"/>
    </row>
    <row r="38" spans="1:9" s="14" customFormat="1" ht="12.75" x14ac:dyDescent="0.2">
      <c r="A38" s="20">
        <v>27</v>
      </c>
      <c r="B38" s="20" t="str">
        <f>'[1]учительство  '!B31</f>
        <v xml:space="preserve"> МКОУ В-Алак НОШ  </v>
      </c>
      <c r="C38" s="179">
        <f>'[1]учительство  '!S31</f>
        <v>0</v>
      </c>
      <c r="D38" s="180">
        <f>[1]Школы!CH36</f>
        <v>0</v>
      </c>
      <c r="E38" s="197">
        <f>[1]Школы!CH36</f>
        <v>0</v>
      </c>
      <c r="F38" s="17">
        <f>[1]Школы!CH36</f>
        <v>0</v>
      </c>
      <c r="G38" s="15"/>
      <c r="H38" s="15"/>
      <c r="I38" s="15"/>
    </row>
    <row r="39" spans="1:9" s="14" customFormat="1" ht="12.75" x14ac:dyDescent="0.2">
      <c r="A39" s="20">
        <v>28</v>
      </c>
      <c r="B39" s="20" t="str">
        <f>'[1]учительство  '!B32</f>
        <v xml:space="preserve"> МКОУ Гунха НОШ  </v>
      </c>
      <c r="C39" s="179">
        <f>'[1]учительство  '!S32</f>
        <v>0</v>
      </c>
      <c r="D39" s="180">
        <f>[1]Школы!CH37</f>
        <v>0</v>
      </c>
      <c r="E39" s="197">
        <f>[1]Школы!CH37</f>
        <v>0</v>
      </c>
      <c r="F39" s="17">
        <f>[1]Школы!CH37</f>
        <v>0</v>
      </c>
      <c r="G39" s="15"/>
      <c r="H39" s="15"/>
      <c r="I39" s="15"/>
    </row>
    <row r="40" spans="1:9" s="14" customFormat="1" ht="12.75" x14ac:dyDescent="0.2">
      <c r="A40" s="20">
        <v>29</v>
      </c>
      <c r="B40" s="20" t="str">
        <f>'[1]учительство  '!B33</f>
        <v xml:space="preserve"> МКОУ Зибирхали НОШ  </v>
      </c>
      <c r="C40" s="179">
        <f>'[1]учительство  '!S33</f>
        <v>0</v>
      </c>
      <c r="D40" s="180">
        <f>[1]Школы!CH38</f>
        <v>0</v>
      </c>
      <c r="E40" s="197">
        <f>[1]Школы!CH38</f>
        <v>0</v>
      </c>
      <c r="F40" s="17">
        <f>[1]Школы!CH38</f>
        <v>0</v>
      </c>
      <c r="G40" s="15"/>
      <c r="H40" s="15"/>
      <c r="I40" s="15"/>
    </row>
    <row r="41" spans="1:9" s="14" customFormat="1" ht="12.75" x14ac:dyDescent="0.2">
      <c r="A41" s="20">
        <v>30</v>
      </c>
      <c r="B41" s="20" t="str">
        <f>'[1]учительство  '!B34</f>
        <v xml:space="preserve"> МКОУ Н-Алак НОШ  </v>
      </c>
      <c r="C41" s="179">
        <f>'[1]учительство  '!S34</f>
        <v>0</v>
      </c>
      <c r="D41" s="180">
        <f>[1]Школы!CH39</f>
        <v>0</v>
      </c>
      <c r="E41" s="197">
        <f>[1]Школы!CH39</f>
        <v>0</v>
      </c>
      <c r="F41" s="17">
        <f>[1]Школы!CH39</f>
        <v>0</v>
      </c>
      <c r="G41" s="15"/>
      <c r="H41" s="15"/>
      <c r="I41" s="15"/>
    </row>
    <row r="42" spans="1:9" s="14" customFormat="1" ht="12.75" x14ac:dyDescent="0.2">
      <c r="A42" s="20">
        <v>31</v>
      </c>
      <c r="B42" s="20" t="str">
        <f>'[1]учительство  '!B35</f>
        <v xml:space="preserve"> МКОУ Шиворта НОШ  </v>
      </c>
      <c r="C42" s="179">
        <f>'[1]учительство  '!S35</f>
        <v>0</v>
      </c>
      <c r="D42" s="180">
        <f>[1]Школы!CH40</f>
        <v>0</v>
      </c>
      <c r="E42" s="197">
        <f>[1]Школы!CH40</f>
        <v>0</v>
      </c>
      <c r="F42" s="17">
        <f>[1]Школы!CH40</f>
        <v>0</v>
      </c>
      <c r="G42" s="15"/>
      <c r="H42" s="15"/>
      <c r="I42" s="15"/>
    </row>
    <row r="43" spans="1:9" s="14" customFormat="1" ht="12.75" x14ac:dyDescent="0.2">
      <c r="A43" s="12"/>
      <c r="B43" s="20" t="s">
        <v>1</v>
      </c>
      <c r="C43" s="101">
        <f>SUM(C12:C42)</f>
        <v>69</v>
      </c>
      <c r="D43" s="96">
        <f>SUM(D12:D42)</f>
        <v>1792234.29</v>
      </c>
      <c r="E43" s="96">
        <f>SUM(E12:E42)</f>
        <v>1792234.29</v>
      </c>
      <c r="F43" s="96">
        <f>SUM(F12:F42)</f>
        <v>1792234.29</v>
      </c>
      <c r="G43" s="15"/>
      <c r="H43" s="15"/>
      <c r="I43" s="15"/>
    </row>
    <row r="44" spans="1:9" s="16" customFormat="1" ht="12.75" x14ac:dyDescent="0.2">
      <c r="A44" s="6"/>
      <c r="B44" s="6"/>
      <c r="C44" s="6"/>
      <c r="D44" s="6"/>
      <c r="E44" s="6"/>
      <c r="F44" s="6"/>
      <c r="G44" s="6"/>
      <c r="H44" s="6"/>
      <c r="I44" s="6"/>
    </row>
    <row r="45" spans="1:9" s="14" customFormat="1" ht="12.75" x14ac:dyDescent="0.2">
      <c r="C45" s="14" t="s">
        <v>0</v>
      </c>
      <c r="D45" s="21" t="s">
        <v>0</v>
      </c>
    </row>
    <row r="46" spans="1:9" s="14" customFormat="1" ht="12.75" x14ac:dyDescent="0.2"/>
    <row r="47" spans="1:9" s="14" customFormat="1" ht="12.75" x14ac:dyDescent="0.2"/>
    <row r="48" spans="1:9" s="14" customFormat="1" ht="12.75" x14ac:dyDescent="0.2"/>
    <row r="49" spans="3:4" s="14" customFormat="1" ht="12.75" x14ac:dyDescent="0.2"/>
    <row r="50" spans="3:4" s="14" customFormat="1" ht="12.75" x14ac:dyDescent="0.2"/>
    <row r="51" spans="3:4" s="14" customFormat="1" ht="12.75" x14ac:dyDescent="0.2">
      <c r="C51" s="14" t="s">
        <v>312</v>
      </c>
      <c r="D51" s="21">
        <f>'[1]Доходы №1'!E38*1000</f>
        <v>1792234</v>
      </c>
    </row>
    <row r="52" spans="3:4" s="14" customFormat="1" ht="12.75" x14ac:dyDescent="0.2">
      <c r="D52" s="21">
        <f>D43</f>
        <v>1792234.29</v>
      </c>
    </row>
    <row r="53" spans="3:4" s="14" customFormat="1" ht="12.75" x14ac:dyDescent="0.2">
      <c r="C53" s="14" t="s">
        <v>304</v>
      </c>
      <c r="D53" s="21">
        <f>D51-D52</f>
        <v>-0.2900000000372529</v>
      </c>
    </row>
    <row r="54" spans="3:4" s="14" customFormat="1" ht="12.75" x14ac:dyDescent="0.2"/>
    <row r="55" spans="3:4" s="14" customFormat="1" ht="12.75" x14ac:dyDescent="0.2"/>
    <row r="56" spans="3:4" s="14" customFormat="1" ht="12.75" x14ac:dyDescent="0.2"/>
    <row r="57" spans="3:4" s="14" customFormat="1" ht="12.75" x14ac:dyDescent="0.2"/>
    <row r="58" spans="3:4" s="14" customFormat="1" ht="12.75" x14ac:dyDescent="0.2"/>
    <row r="59" spans="3:4" s="14" customFormat="1" ht="12.75" x14ac:dyDescent="0.2"/>
    <row r="60" spans="3:4" s="14" customFormat="1" ht="12.75" x14ac:dyDescent="0.2"/>
    <row r="61" spans="3:4" s="14" customFormat="1" ht="12.75" x14ac:dyDescent="0.2"/>
  </sheetData>
  <mergeCells count="9">
    <mergeCell ref="A8:F8"/>
    <mergeCell ref="A9:F9"/>
    <mergeCell ref="C1:F1"/>
    <mergeCell ref="C2:F2"/>
    <mergeCell ref="C4:F4"/>
    <mergeCell ref="A5:F5"/>
    <mergeCell ref="A6:F6"/>
    <mergeCell ref="A7:F7"/>
    <mergeCell ref="C3:F3"/>
  </mergeCells>
  <pageMargins left="1" right="1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C3" sqref="C3:F3"/>
    </sheetView>
  </sheetViews>
  <sheetFormatPr defaultColWidth="8.7109375" defaultRowHeight="15" x14ac:dyDescent="0.25"/>
  <cols>
    <col min="1" max="1" width="3.85546875" style="29" customWidth="1"/>
    <col min="2" max="2" width="27.5703125" style="29" customWidth="1"/>
    <col min="3" max="3" width="11.42578125" style="29" customWidth="1"/>
    <col min="4" max="4" width="10" style="29" customWidth="1"/>
    <col min="5" max="5" width="10.85546875" style="29" customWidth="1"/>
    <col min="6" max="7" width="9.85546875" style="29" customWidth="1"/>
    <col min="8" max="10" width="8.7109375" style="29"/>
    <col min="11" max="11" width="24.85546875" style="29" customWidth="1"/>
    <col min="12" max="21" width="8.7109375" style="29"/>
    <col min="22" max="22" width="10" style="29" bestFit="1" customWidth="1"/>
    <col min="23" max="16384" width="8.7109375" style="29"/>
  </cols>
  <sheetData>
    <row r="1" spans="1:9" s="14" customFormat="1" ht="12.75" x14ac:dyDescent="0.2">
      <c r="C1" s="570" t="s">
        <v>607</v>
      </c>
      <c r="D1" s="570"/>
      <c r="E1" s="570"/>
      <c r="F1" s="570"/>
    </row>
    <row r="2" spans="1:9" s="14" customFormat="1" ht="12.75" x14ac:dyDescent="0.2">
      <c r="B2" s="99"/>
      <c r="C2" s="570" t="s">
        <v>603</v>
      </c>
      <c r="D2" s="570"/>
      <c r="E2" s="570"/>
      <c r="F2" s="570"/>
    </row>
    <row r="3" spans="1:9" s="14" customFormat="1" ht="12.75" x14ac:dyDescent="0.2">
      <c r="B3" s="451"/>
      <c r="C3" s="570" t="s">
        <v>626</v>
      </c>
      <c r="D3" s="570"/>
      <c r="E3" s="570"/>
      <c r="F3" s="570"/>
    </row>
    <row r="4" spans="1:9" s="14" customFormat="1" ht="12.75" x14ac:dyDescent="0.2">
      <c r="B4" s="99"/>
      <c r="C4" s="594"/>
      <c r="D4" s="594"/>
      <c r="E4" s="594"/>
      <c r="F4" s="594"/>
    </row>
    <row r="5" spans="1:9" s="14" customFormat="1" ht="12.75" x14ac:dyDescent="0.2">
      <c r="B5" s="99"/>
      <c r="C5" s="216"/>
      <c r="D5" s="569"/>
      <c r="E5" s="569"/>
      <c r="F5" s="569"/>
    </row>
    <row r="6" spans="1:9" s="14" customFormat="1" ht="12.75" x14ac:dyDescent="0.2">
      <c r="A6" s="573" t="s">
        <v>132</v>
      </c>
      <c r="B6" s="573"/>
      <c r="C6" s="573"/>
      <c r="D6" s="573"/>
      <c r="E6" s="573"/>
    </row>
    <row r="7" spans="1:9" s="14" customFormat="1" ht="12.75" x14ac:dyDescent="0.2">
      <c r="A7" s="573" t="s">
        <v>133</v>
      </c>
      <c r="B7" s="573"/>
      <c r="C7" s="573"/>
      <c r="D7" s="573"/>
      <c r="E7" s="573"/>
    </row>
    <row r="8" spans="1:9" s="14" customFormat="1" ht="12.75" x14ac:dyDescent="0.2">
      <c r="A8" s="573" t="s">
        <v>313</v>
      </c>
      <c r="B8" s="573"/>
      <c r="C8" s="573"/>
      <c r="D8" s="573"/>
      <c r="E8" s="573"/>
    </row>
    <row r="9" spans="1:9" s="14" customFormat="1" ht="12.75" x14ac:dyDescent="0.2">
      <c r="F9" s="100" t="s">
        <v>134</v>
      </c>
    </row>
    <row r="10" spans="1:9" s="14" customFormat="1" ht="66" customHeight="1" x14ac:dyDescent="0.2">
      <c r="A10" s="223" t="s">
        <v>3</v>
      </c>
      <c r="B10" s="223" t="s">
        <v>118</v>
      </c>
      <c r="C10" s="223" t="s">
        <v>135</v>
      </c>
      <c r="D10" s="223" t="s">
        <v>311</v>
      </c>
      <c r="E10" s="223" t="s">
        <v>231</v>
      </c>
      <c r="F10" s="223" t="s">
        <v>266</v>
      </c>
      <c r="G10" s="15"/>
      <c r="H10" s="15"/>
      <c r="I10" s="15"/>
    </row>
    <row r="11" spans="1:9" s="102" customFormat="1" ht="12.75" customHeight="1" x14ac:dyDescent="0.2">
      <c r="A11" s="20">
        <v>1</v>
      </c>
      <c r="B11" s="20" t="str">
        <f>'[1]учительство  '!B5</f>
        <v xml:space="preserve"> МКОУ Алак СОШ лицей</v>
      </c>
      <c r="C11" s="179">
        <f>('[1]учительство  '!M5+'[1]учительство  '!O5)-'[1]учительство  '!S5</f>
        <v>112</v>
      </c>
      <c r="D11" s="180">
        <f>[1]Школы!CG10</f>
        <v>1344490.52</v>
      </c>
      <c r="E11" s="180">
        <f>D11</f>
        <v>1344490.52</v>
      </c>
      <c r="F11" s="180">
        <f>D11</f>
        <v>1344490.52</v>
      </c>
      <c r="G11" s="258"/>
    </row>
    <row r="12" spans="1:9" s="14" customFormat="1" ht="12.75" x14ac:dyDescent="0.2">
      <c r="A12" s="20">
        <v>2</v>
      </c>
      <c r="B12" s="20" t="str">
        <f>'[1]учительство  '!B6</f>
        <v xml:space="preserve"> МКОУ Анди СОШ №1</v>
      </c>
      <c r="C12" s="179">
        <f>('[1]учительство  '!M6+'[1]учительство  '!O6)-'[1]учительство  '!S6</f>
        <v>127</v>
      </c>
      <c r="D12" s="180">
        <f>[1]Школы!CG11</f>
        <v>1536938.67</v>
      </c>
      <c r="E12" s="180">
        <f t="shared" ref="E12:E41" si="0">D12</f>
        <v>1536938.67</v>
      </c>
      <c r="F12" s="180">
        <f t="shared" ref="F12:F41" si="1">D12</f>
        <v>1536938.67</v>
      </c>
      <c r="G12" s="15"/>
      <c r="H12" s="15"/>
      <c r="I12" s="15" t="s">
        <v>0</v>
      </c>
    </row>
    <row r="13" spans="1:9" s="14" customFormat="1" ht="12.75" x14ac:dyDescent="0.2">
      <c r="A13" s="20">
        <v>3</v>
      </c>
      <c r="B13" s="20" t="str">
        <f>'[1]учительство  '!B7</f>
        <v xml:space="preserve"> МКОУ Анди СОШ №2 </v>
      </c>
      <c r="C13" s="179">
        <f>('[1]учительство  '!M7+'[1]учительство  '!O7)-'[1]учительство  '!S7</f>
        <v>150</v>
      </c>
      <c r="D13" s="180">
        <f>[1]Школы!CG12</f>
        <v>1744226.5</v>
      </c>
      <c r="E13" s="180">
        <f t="shared" si="0"/>
        <v>1744226.5</v>
      </c>
      <c r="F13" s="180">
        <f t="shared" si="1"/>
        <v>1744226.5</v>
      </c>
      <c r="G13" s="15"/>
      <c r="H13" s="15"/>
      <c r="I13" s="15"/>
    </row>
    <row r="14" spans="1:9" s="14" customFormat="1" ht="12.75" x14ac:dyDescent="0.2">
      <c r="A14" s="20">
        <v>4</v>
      </c>
      <c r="B14" s="20" t="str">
        <f>'[1]учительство  '!B8</f>
        <v xml:space="preserve"> МКОУ Ансалта СОШ</v>
      </c>
      <c r="C14" s="179">
        <f>('[1]учительство  '!M8+'[1]учительство  '!O8)-'[1]учительство  '!S8</f>
        <v>189</v>
      </c>
      <c r="D14" s="180">
        <f>[1]Школы!CG13</f>
        <v>2231903.69</v>
      </c>
      <c r="E14" s="180">
        <f t="shared" si="0"/>
        <v>2231903.69</v>
      </c>
      <c r="F14" s="180">
        <f t="shared" si="1"/>
        <v>2231903.69</v>
      </c>
      <c r="G14" s="15"/>
      <c r="H14" s="15"/>
      <c r="I14" s="15"/>
    </row>
    <row r="15" spans="1:9" s="14" customFormat="1" ht="12.75" x14ac:dyDescent="0.2">
      <c r="A15" s="20">
        <v>5</v>
      </c>
      <c r="B15" s="20" t="str">
        <f>'[1]учительство  '!B9</f>
        <v xml:space="preserve"> МКОУ Ашали ООШ</v>
      </c>
      <c r="C15" s="179">
        <f>('[1]учительство  '!M9+'[1]учительство  '!O9)-'[1]учительство  '!S9</f>
        <v>21</v>
      </c>
      <c r="D15" s="180">
        <f>[1]Школы!CG14</f>
        <v>249785.41</v>
      </c>
      <c r="E15" s="180">
        <f t="shared" si="0"/>
        <v>249785.41</v>
      </c>
      <c r="F15" s="180">
        <f t="shared" si="1"/>
        <v>249785.41</v>
      </c>
      <c r="G15" s="15"/>
      <c r="H15" s="15"/>
      <c r="I15" s="15"/>
    </row>
    <row r="16" spans="1:9" s="14" customFormat="1" ht="12.75" x14ac:dyDescent="0.2">
      <c r="A16" s="20">
        <v>6</v>
      </c>
      <c r="B16" s="20" t="str">
        <f>'[1]учительство  '!B10</f>
        <v xml:space="preserve">МКОУ БСШ №1 </v>
      </c>
      <c r="C16" s="179">
        <f>('[1]учительство  '!M10+'[1]учительство  '!O10)-'[1]учительство  '!S10</f>
        <v>248</v>
      </c>
      <c r="D16" s="180">
        <f>[1]Школы!CG15</f>
        <v>3030265.08</v>
      </c>
      <c r="E16" s="180">
        <f t="shared" si="0"/>
        <v>3030265.08</v>
      </c>
      <c r="F16" s="180">
        <f t="shared" si="1"/>
        <v>3030265.08</v>
      </c>
      <c r="G16" s="15"/>
      <c r="H16" s="15"/>
      <c r="I16" s="15" t="s">
        <v>136</v>
      </c>
    </row>
    <row r="17" spans="1:9" s="14" customFormat="1" ht="12.75" x14ac:dyDescent="0.2">
      <c r="A17" s="20">
        <v>7</v>
      </c>
      <c r="B17" s="20" t="str">
        <f>'[1]учительство  '!B11</f>
        <v xml:space="preserve"> МКОУ БСШ №2</v>
      </c>
      <c r="C17" s="179">
        <f>('[1]учительство  '!M11+'[1]учительство  '!O11)-'[1]учительство  '!S11</f>
        <v>263</v>
      </c>
      <c r="D17" s="180">
        <f>[1]Школы!CG16</f>
        <v>3177573.23</v>
      </c>
      <c r="E17" s="180">
        <f t="shared" si="0"/>
        <v>3177573.23</v>
      </c>
      <c r="F17" s="180">
        <f t="shared" si="1"/>
        <v>3177573.23</v>
      </c>
      <c r="G17" s="15"/>
      <c r="H17" s="15" t="s">
        <v>0</v>
      </c>
      <c r="I17" s="15"/>
    </row>
    <row r="18" spans="1:9" s="14" customFormat="1" ht="12.75" x14ac:dyDescent="0.2">
      <c r="A18" s="20">
        <v>8</v>
      </c>
      <c r="B18" s="20" t="str">
        <f>'[1]учительство  '!B12</f>
        <v xml:space="preserve">МКОУ БСШ №3 </v>
      </c>
      <c r="C18" s="179">
        <f>('[1]учительство  '!M12+'[1]учительство  '!O12)-'[1]учительство  '!S12</f>
        <v>58</v>
      </c>
      <c r="D18" s="180">
        <f>[1]Школы!CG17</f>
        <v>695780.18</v>
      </c>
      <c r="E18" s="180">
        <f t="shared" si="0"/>
        <v>695780.18</v>
      </c>
      <c r="F18" s="180">
        <f t="shared" si="1"/>
        <v>695780.18</v>
      </c>
      <c r="G18" s="15"/>
      <c r="H18" s="15"/>
      <c r="I18" s="15"/>
    </row>
    <row r="19" spans="1:9" s="14" customFormat="1" ht="12.75" x14ac:dyDescent="0.2">
      <c r="A19" s="20">
        <v>9</v>
      </c>
      <c r="B19" s="20" t="str">
        <f>'[1]учительство  '!B13</f>
        <v xml:space="preserve">МКОУ Гагатли СОШ </v>
      </c>
      <c r="C19" s="179">
        <f>('[1]учительство  '!M13+'[1]учительство  '!O13)-'[1]учительство  '!S13</f>
        <v>132</v>
      </c>
      <c r="D19" s="180">
        <f>[1]Школы!CG18</f>
        <v>1546899.72</v>
      </c>
      <c r="E19" s="180">
        <f t="shared" si="0"/>
        <v>1546899.72</v>
      </c>
      <c r="F19" s="180">
        <f t="shared" si="1"/>
        <v>1546899.72</v>
      </c>
      <c r="G19" s="15"/>
      <c r="H19" s="15"/>
      <c r="I19" s="15"/>
    </row>
    <row r="20" spans="1:9" s="14" customFormat="1" ht="12.75" x14ac:dyDescent="0.2">
      <c r="A20" s="20">
        <v>10</v>
      </c>
      <c r="B20" s="20" t="str">
        <f>'[1]учительство  '!B14</f>
        <v xml:space="preserve"> МКОУ Годобери СОШ  </v>
      </c>
      <c r="C20" s="179">
        <f>('[1]учительство  '!M14+'[1]учительство  '!O14)-'[1]учительство  '!S14</f>
        <v>176</v>
      </c>
      <c r="D20" s="180">
        <f>[1]Школы!CG19</f>
        <v>2101267.96</v>
      </c>
      <c r="E20" s="180">
        <f t="shared" si="0"/>
        <v>2101267.96</v>
      </c>
      <c r="F20" s="180">
        <f t="shared" si="1"/>
        <v>2101267.96</v>
      </c>
      <c r="G20" s="15"/>
      <c r="H20" s="15" t="s">
        <v>136</v>
      </c>
      <c r="I20" s="15"/>
    </row>
    <row r="21" spans="1:9" s="14" customFormat="1" ht="12.75" x14ac:dyDescent="0.2">
      <c r="A21" s="20">
        <v>11</v>
      </c>
      <c r="B21" s="20" t="str">
        <f>'[1]учительство  '!B15</f>
        <v xml:space="preserve"> МКОУ Зило СОШ  </v>
      </c>
      <c r="C21" s="179">
        <f>('[1]учительство  '!M15+'[1]учительство  '!O15)-'[1]учительство  '!S15</f>
        <v>36</v>
      </c>
      <c r="D21" s="180">
        <f>[1]Школы!CG20</f>
        <v>427288.56</v>
      </c>
      <c r="E21" s="180">
        <f t="shared" si="0"/>
        <v>427288.56</v>
      </c>
      <c r="F21" s="180">
        <f t="shared" si="1"/>
        <v>427288.56</v>
      </c>
      <c r="G21" s="15"/>
      <c r="H21" s="15"/>
      <c r="I21" s="15"/>
    </row>
    <row r="22" spans="1:9" s="14" customFormat="1" ht="12.75" x14ac:dyDescent="0.2">
      <c r="A22" s="20">
        <v>12</v>
      </c>
      <c r="B22" s="20" t="str">
        <f>'[1]учительство  '!B16</f>
        <v xml:space="preserve"> МКОУ Кванхидатли ООШ  </v>
      </c>
      <c r="C22" s="179">
        <f>('[1]учительство  '!M16+'[1]учительство  '!O16)-'[1]учительство  '!S16</f>
        <v>15</v>
      </c>
      <c r="D22" s="180">
        <f>[1]Школы!CG21</f>
        <v>188178.15</v>
      </c>
      <c r="E22" s="180">
        <f t="shared" si="0"/>
        <v>188178.15</v>
      </c>
      <c r="F22" s="180">
        <f t="shared" si="1"/>
        <v>188178.15</v>
      </c>
      <c r="G22" s="15"/>
      <c r="H22" s="15"/>
      <c r="I22" s="15"/>
    </row>
    <row r="23" spans="1:9" s="14" customFormat="1" ht="12.75" x14ac:dyDescent="0.2">
      <c r="A23" s="20">
        <v>13</v>
      </c>
      <c r="B23" s="20" t="str">
        <f>'[1]учительство  '!B17</f>
        <v xml:space="preserve"> МКОУ Миарсо СОШ  </v>
      </c>
      <c r="C23" s="179">
        <f>('[1]учительство  '!M17+'[1]учительство  '!O17)-'[1]учительство  '!S17</f>
        <v>92</v>
      </c>
      <c r="D23" s="180">
        <f>[1]Школы!CG22</f>
        <v>1104261.32</v>
      </c>
      <c r="E23" s="180">
        <f t="shared" si="0"/>
        <v>1104261.32</v>
      </c>
      <c r="F23" s="180">
        <f t="shared" si="1"/>
        <v>1104261.32</v>
      </c>
      <c r="G23" s="15"/>
      <c r="H23" s="15"/>
      <c r="I23" s="15"/>
    </row>
    <row r="24" spans="1:9" s="14" customFormat="1" ht="12.75" x14ac:dyDescent="0.2">
      <c r="A24" s="20">
        <v>14</v>
      </c>
      <c r="B24" s="20" t="str">
        <f>'[1]учительство  '!B18</f>
        <v xml:space="preserve"> МКОУ Муни СОШ  </v>
      </c>
      <c r="C24" s="179">
        <f>('[1]учительство  '!M18+'[1]учительство  '!O18)-'[1]учительство  '!S18</f>
        <v>154</v>
      </c>
      <c r="D24" s="180">
        <f>[1]Школы!CG23</f>
        <v>1864801.34</v>
      </c>
      <c r="E24" s="180">
        <f t="shared" si="0"/>
        <v>1864801.34</v>
      </c>
      <c r="F24" s="180">
        <f t="shared" si="1"/>
        <v>1864801.34</v>
      </c>
      <c r="G24" s="15"/>
      <c r="H24" s="15"/>
      <c r="I24" s="15"/>
    </row>
    <row r="25" spans="1:9" s="14" customFormat="1" ht="12.75" x14ac:dyDescent="0.2">
      <c r="A25" s="20">
        <v>15</v>
      </c>
      <c r="B25" s="20" t="str">
        <f>'[1]учительство  '!B19</f>
        <v xml:space="preserve"> МКОУ Ортоколо СОШ  </v>
      </c>
      <c r="C25" s="179">
        <f>('[1]учительство  '!M19+'[1]учительство  '!O19)-'[1]учительство  '!S19</f>
        <v>51</v>
      </c>
      <c r="D25" s="180">
        <f>[1]Школы!CG24</f>
        <v>606011.71</v>
      </c>
      <c r="E25" s="180">
        <f t="shared" si="0"/>
        <v>606011.71</v>
      </c>
      <c r="F25" s="180">
        <f t="shared" si="1"/>
        <v>606011.71</v>
      </c>
      <c r="G25" s="15"/>
      <c r="H25" s="15"/>
      <c r="I25" s="15"/>
    </row>
    <row r="26" spans="1:9" s="14" customFormat="1" ht="12.75" x14ac:dyDescent="0.2">
      <c r="A26" s="20">
        <v>16</v>
      </c>
      <c r="B26" s="20" t="str">
        <f>'[1]учительство  '!B20</f>
        <v xml:space="preserve"> МКОУ Рахата СОШ  </v>
      </c>
      <c r="C26" s="179">
        <f>('[1]учительство  '!M20+'[1]учительство  '!O20)-'[1]учительство  '!S20</f>
        <v>213</v>
      </c>
      <c r="D26" s="180">
        <f>[1]Школы!CG25</f>
        <v>2502732.73</v>
      </c>
      <c r="E26" s="180">
        <f t="shared" si="0"/>
        <v>2502732.73</v>
      </c>
      <c r="F26" s="180">
        <f t="shared" si="1"/>
        <v>2502732.73</v>
      </c>
      <c r="G26" s="15"/>
      <c r="H26" s="15"/>
      <c r="I26" s="15"/>
    </row>
    <row r="27" spans="1:9" s="14" customFormat="1" ht="12.75" x14ac:dyDescent="0.2">
      <c r="A27" s="20">
        <v>17</v>
      </c>
      <c r="B27" s="20" t="str">
        <f>'[1]учительство  '!B21</f>
        <v xml:space="preserve"> МКОУ Риквани СОШ  </v>
      </c>
      <c r="C27" s="179">
        <f>('[1]учительство  '!M21+'[1]учительство  '!O21)-'[1]учительство  '!S21</f>
        <v>30</v>
      </c>
      <c r="D27" s="180">
        <f>[1]Школы!CG26</f>
        <v>358361.3</v>
      </c>
      <c r="E27" s="180">
        <f t="shared" si="0"/>
        <v>358361.3</v>
      </c>
      <c r="F27" s="180">
        <f t="shared" si="1"/>
        <v>358361.3</v>
      </c>
      <c r="G27" s="15"/>
      <c r="H27" s="15"/>
      <c r="I27" s="15"/>
    </row>
    <row r="28" spans="1:9" s="14" customFormat="1" ht="12.75" x14ac:dyDescent="0.2">
      <c r="A28" s="20">
        <v>18</v>
      </c>
      <c r="B28" s="20" t="str">
        <f>'[1]учительство  '!B22</f>
        <v xml:space="preserve"> МКОУ Тандо СОШ  </v>
      </c>
      <c r="C28" s="179">
        <f>('[1]учительство  '!M22+'[1]учительство  '!O22)-'[1]учительство  '!S22</f>
        <v>27</v>
      </c>
      <c r="D28" s="180">
        <f>[1]Школы!CG27</f>
        <v>319322.67</v>
      </c>
      <c r="E28" s="180">
        <f t="shared" si="0"/>
        <v>319322.67</v>
      </c>
      <c r="F28" s="180">
        <f t="shared" si="1"/>
        <v>319322.67</v>
      </c>
      <c r="G28" s="15"/>
      <c r="H28" s="15"/>
      <c r="I28" s="15"/>
    </row>
    <row r="29" spans="1:9" s="14" customFormat="1" ht="12.75" x14ac:dyDescent="0.2">
      <c r="A29" s="20">
        <v>19</v>
      </c>
      <c r="B29" s="20" t="str">
        <f>'[1]учительство  '!B23</f>
        <v xml:space="preserve"> МКОУ Тасута ООШ  </v>
      </c>
      <c r="C29" s="179">
        <f>('[1]учительство  '!M23+'[1]учительство  '!O23)-'[1]учительство  '!S23</f>
        <v>11</v>
      </c>
      <c r="D29" s="180">
        <f>[1]Школы!CG28</f>
        <v>128908.31</v>
      </c>
      <c r="E29" s="180">
        <f t="shared" si="0"/>
        <v>128908.31</v>
      </c>
      <c r="F29" s="180">
        <f t="shared" si="1"/>
        <v>128908.31</v>
      </c>
      <c r="G29" s="15"/>
      <c r="H29" s="15"/>
      <c r="I29" s="15"/>
    </row>
    <row r="30" spans="1:9" s="14" customFormat="1" ht="12.75" x14ac:dyDescent="0.2">
      <c r="A30" s="20">
        <v>20</v>
      </c>
      <c r="B30" s="20" t="str">
        <f>'[1]учительство  '!B24</f>
        <v xml:space="preserve"> МКОУ Тлох СОШ  </v>
      </c>
      <c r="C30" s="179">
        <f>('[1]учительство  '!M24+'[1]учительство  '!O24)-'[1]учительство  '!S24</f>
        <v>161</v>
      </c>
      <c r="D30" s="180">
        <f>[1]Школы!CG29</f>
        <v>2075037.81</v>
      </c>
      <c r="E30" s="180">
        <f t="shared" si="0"/>
        <v>2075037.81</v>
      </c>
      <c r="F30" s="180">
        <f t="shared" si="1"/>
        <v>2075037.81</v>
      </c>
      <c r="G30" s="15"/>
      <c r="H30" s="15"/>
      <c r="I30" s="15"/>
    </row>
    <row r="31" spans="1:9" s="14" customFormat="1" ht="12.75" x14ac:dyDescent="0.2">
      <c r="A31" s="20">
        <v>21</v>
      </c>
      <c r="B31" s="20" t="str">
        <f>'[1]учительство  '!B25</f>
        <v xml:space="preserve"> МКОУ Хелетури СОШ  </v>
      </c>
      <c r="C31" s="179">
        <f>('[1]учительство  '!M25+'[1]учительство  '!O25)-'[1]учительство  '!S25</f>
        <v>10</v>
      </c>
      <c r="D31" s="180">
        <f>[1]Школы!CG30</f>
        <v>116607.1</v>
      </c>
      <c r="E31" s="180">
        <f t="shared" si="0"/>
        <v>116607.1</v>
      </c>
      <c r="F31" s="180">
        <f t="shared" si="1"/>
        <v>116607.1</v>
      </c>
      <c r="G31" s="15"/>
      <c r="H31" s="15"/>
      <c r="I31" s="15"/>
    </row>
    <row r="32" spans="1:9" s="14" customFormat="1" ht="12.75" x14ac:dyDescent="0.2">
      <c r="A32" s="20">
        <v>22</v>
      </c>
      <c r="B32" s="20" t="str">
        <f>'[1]учительство  '!B26</f>
        <v xml:space="preserve"> МКОУ Чанко СОШ  </v>
      </c>
      <c r="C32" s="179">
        <f>('[1]учительство  '!M26+'[1]учительство  '!O26)-'[1]учительство  '!S26</f>
        <v>17</v>
      </c>
      <c r="D32" s="180">
        <f>[1]Школы!CG31</f>
        <v>194175.57</v>
      </c>
      <c r="E32" s="180">
        <f t="shared" si="0"/>
        <v>194175.57</v>
      </c>
      <c r="F32" s="180">
        <f t="shared" si="1"/>
        <v>194175.57</v>
      </c>
      <c r="G32" s="15"/>
      <c r="H32" s="15"/>
      <c r="I32" s="15"/>
    </row>
    <row r="33" spans="1:9" s="14" customFormat="1" ht="12.75" x14ac:dyDescent="0.2">
      <c r="A33" s="20">
        <v>23</v>
      </c>
      <c r="B33" s="20" t="str">
        <f>'[1]учительство  '!B27</f>
        <v xml:space="preserve"> МКОУ Шодрода СОШ  </v>
      </c>
      <c r="C33" s="179">
        <f>('[1]учительство  '!M27+'[1]учительство  '!O27)-'[1]учительство  '!S27</f>
        <v>35</v>
      </c>
      <c r="D33" s="180">
        <f>[1]Школы!CG32</f>
        <v>400652.35</v>
      </c>
      <c r="E33" s="180">
        <f t="shared" si="0"/>
        <v>400652.35</v>
      </c>
      <c r="F33" s="180">
        <f t="shared" si="1"/>
        <v>400652.35</v>
      </c>
      <c r="G33" s="15"/>
      <c r="H33" s="15"/>
      <c r="I33" s="15"/>
    </row>
    <row r="34" spans="1:9" s="14" customFormat="1" ht="12.75" x14ac:dyDescent="0.2">
      <c r="A34" s="20">
        <v>24</v>
      </c>
      <c r="B34" s="20" t="str">
        <f>'[1]учительство  '!B28</f>
        <v xml:space="preserve"> МКОУ Инхело ООШ  </v>
      </c>
      <c r="C34" s="179">
        <f>('[1]учительство  '!M28+'[1]учительство  '!O28)-'[1]учительство  '!S28</f>
        <v>96</v>
      </c>
      <c r="D34" s="180">
        <f>[1]Школы!CG33</f>
        <v>1121136.1599999999</v>
      </c>
      <c r="E34" s="180">
        <f t="shared" si="0"/>
        <v>1121136.1599999999</v>
      </c>
      <c r="F34" s="180">
        <f t="shared" si="1"/>
        <v>1121136.1599999999</v>
      </c>
      <c r="G34" s="15"/>
      <c r="H34" s="15"/>
      <c r="I34" s="15"/>
    </row>
    <row r="35" spans="1:9" s="14" customFormat="1" ht="12.75" x14ac:dyDescent="0.2">
      <c r="A35" s="20">
        <v>25</v>
      </c>
      <c r="B35" s="20" t="str">
        <f>'[1]учительство  '!B29</f>
        <v xml:space="preserve"> МКОУ Кижани ООШ  </v>
      </c>
      <c r="C35" s="179">
        <f>('[1]учительство  '!M29+'[1]учительство  '!O29)-'[1]учительство  '!S29</f>
        <v>34</v>
      </c>
      <c r="D35" s="180">
        <f>[1]Школы!CG34</f>
        <v>396891.14</v>
      </c>
      <c r="E35" s="180">
        <f t="shared" si="0"/>
        <v>396891.14</v>
      </c>
      <c r="F35" s="180">
        <f t="shared" si="1"/>
        <v>396891.14</v>
      </c>
      <c r="G35" s="15"/>
      <c r="H35" s="15"/>
      <c r="I35" s="15"/>
    </row>
    <row r="36" spans="1:9" s="14" customFormat="1" ht="12.75" x14ac:dyDescent="0.2">
      <c r="A36" s="20">
        <v>26</v>
      </c>
      <c r="B36" s="20" t="str">
        <f>'[1]учительство  '!B30</f>
        <v xml:space="preserve"> МКОУ Беледи НОШ  </v>
      </c>
      <c r="C36" s="179">
        <f>('[1]учительство  '!M30+'[1]учительство  '!O30)-'[1]учительство  '!S30</f>
        <v>2</v>
      </c>
      <c r="D36" s="180">
        <f>[1]Школы!CG35</f>
        <v>24602.42</v>
      </c>
      <c r="E36" s="180">
        <f t="shared" si="0"/>
        <v>24602.42</v>
      </c>
      <c r="F36" s="180">
        <f t="shared" si="1"/>
        <v>24602.42</v>
      </c>
      <c r="G36" s="15"/>
      <c r="H36" s="15"/>
      <c r="I36" s="15"/>
    </row>
    <row r="37" spans="1:9" s="14" customFormat="1" ht="12.75" x14ac:dyDescent="0.2">
      <c r="A37" s="20">
        <v>27</v>
      </c>
      <c r="B37" s="20" t="str">
        <f>'[1]учительство  '!B31</f>
        <v xml:space="preserve"> МКОУ В-Алак НОШ  </v>
      </c>
      <c r="C37" s="179">
        <f>('[1]учительство  '!M31+'[1]учительство  '!O31)-'[1]учительство  '!S31</f>
        <v>4</v>
      </c>
      <c r="D37" s="180">
        <f>[1]Школы!CG36</f>
        <v>44934.84</v>
      </c>
      <c r="E37" s="180">
        <f t="shared" si="0"/>
        <v>44934.84</v>
      </c>
      <c r="F37" s="180">
        <f t="shared" si="1"/>
        <v>44934.84</v>
      </c>
      <c r="G37" s="15"/>
      <c r="H37" s="15"/>
      <c r="I37" s="15"/>
    </row>
    <row r="38" spans="1:9" s="14" customFormat="1" ht="12.75" x14ac:dyDescent="0.2">
      <c r="A38" s="20">
        <v>28</v>
      </c>
      <c r="B38" s="20" t="str">
        <f>'[1]учительство  '!B32</f>
        <v xml:space="preserve"> МКОУ Гунха НОШ  </v>
      </c>
      <c r="C38" s="179">
        <f>('[1]учительство  '!M32+'[1]учительство  '!O32)-'[1]учительство  '!S32</f>
        <v>6</v>
      </c>
      <c r="D38" s="180">
        <f>[1]Школы!CG37</f>
        <v>71672.259999999995</v>
      </c>
      <c r="E38" s="180">
        <f t="shared" si="0"/>
        <v>71672.259999999995</v>
      </c>
      <c r="F38" s="180">
        <f t="shared" si="1"/>
        <v>71672.259999999995</v>
      </c>
      <c r="G38" s="15"/>
      <c r="H38" s="15"/>
      <c r="I38" s="15"/>
    </row>
    <row r="39" spans="1:9" s="14" customFormat="1" ht="12.75" x14ac:dyDescent="0.2">
      <c r="A39" s="20">
        <v>29</v>
      </c>
      <c r="B39" s="20" t="str">
        <f>'[1]учительство  '!B33</f>
        <v xml:space="preserve"> МКОУ Зибирхали НОШ  </v>
      </c>
      <c r="C39" s="179">
        <f>('[1]учительство  '!M33+'[1]учительство  '!O33)-'[1]учительство  '!S33</f>
        <v>4</v>
      </c>
      <c r="D39" s="180">
        <f>[1]Школы!CG38</f>
        <v>44934.84</v>
      </c>
      <c r="E39" s="180">
        <f t="shared" si="0"/>
        <v>44934.84</v>
      </c>
      <c r="F39" s="180">
        <f t="shared" si="1"/>
        <v>44934.84</v>
      </c>
      <c r="G39" s="15"/>
      <c r="H39" s="15"/>
      <c r="I39" s="15"/>
    </row>
    <row r="40" spans="1:9" s="14" customFormat="1" ht="12.75" x14ac:dyDescent="0.2">
      <c r="A40" s="20">
        <v>30</v>
      </c>
      <c r="B40" s="20" t="str">
        <f>'[1]учительство  '!B34</f>
        <v xml:space="preserve"> МКОУ Н-Алак НОШ  </v>
      </c>
      <c r="C40" s="179">
        <f>('[1]учительство  '!M34+'[1]учительство  '!O34)-'[1]учительство  '!S34</f>
        <v>4</v>
      </c>
      <c r="D40" s="180">
        <f>[1]Школы!CG39</f>
        <v>44934.84</v>
      </c>
      <c r="E40" s="180">
        <f t="shared" si="0"/>
        <v>44934.84</v>
      </c>
      <c r="F40" s="180">
        <f t="shared" si="1"/>
        <v>44934.84</v>
      </c>
      <c r="G40" s="15"/>
      <c r="H40" s="15"/>
      <c r="I40" s="15"/>
    </row>
    <row r="41" spans="1:9" s="14" customFormat="1" ht="12.75" x14ac:dyDescent="0.2">
      <c r="A41" s="20">
        <v>31</v>
      </c>
      <c r="B41" s="20" t="str">
        <f>'[1]учительство  '!B35</f>
        <v xml:space="preserve"> МКОУ Шиворта НОШ  </v>
      </c>
      <c r="C41" s="179">
        <f>('[1]учительство  '!M35+'[1]учительство  '!O35)-'[1]учительство  '!S35</f>
        <v>1</v>
      </c>
      <c r="D41" s="180">
        <f>[1]Школы!CG40</f>
        <v>12301.21</v>
      </c>
      <c r="E41" s="180">
        <f t="shared" si="0"/>
        <v>12301.21</v>
      </c>
      <c r="F41" s="180">
        <f t="shared" si="1"/>
        <v>12301.21</v>
      </c>
      <c r="G41" s="15"/>
      <c r="H41" s="15"/>
      <c r="I41" s="15"/>
    </row>
    <row r="42" spans="1:9" s="14" customFormat="1" ht="12.75" x14ac:dyDescent="0.2">
      <c r="A42" s="12"/>
      <c r="B42" s="20" t="s">
        <v>1</v>
      </c>
      <c r="C42" s="101">
        <f>SUM(C11:C41)</f>
        <v>2479</v>
      </c>
      <c r="D42" s="96">
        <f>SUM(D11:D41)</f>
        <v>29706877.590000007</v>
      </c>
      <c r="E42" s="96">
        <f>SUM(E11:E41)</f>
        <v>29706877.590000007</v>
      </c>
      <c r="F42" s="96">
        <f>SUM(F11:F41)</f>
        <v>29706877.590000007</v>
      </c>
      <c r="G42" s="15"/>
      <c r="H42" s="15"/>
      <c r="I42" s="15"/>
    </row>
    <row r="43" spans="1:9" s="16" customFormat="1" ht="12.75" x14ac:dyDescent="0.2">
      <c r="A43" s="6"/>
      <c r="B43" s="6"/>
      <c r="C43" s="6"/>
      <c r="D43" s="6"/>
      <c r="E43" s="6"/>
      <c r="F43" s="6"/>
      <c r="G43" s="6"/>
      <c r="H43" s="6"/>
      <c r="I43" s="6"/>
    </row>
    <row r="44" spans="1:9" s="14" customFormat="1" ht="12.75" x14ac:dyDescent="0.2">
      <c r="C44" s="14" t="s">
        <v>0</v>
      </c>
      <c r="D44" s="21" t="s">
        <v>0</v>
      </c>
    </row>
    <row r="45" spans="1:9" s="14" customFormat="1" ht="12.75" x14ac:dyDescent="0.2"/>
    <row r="46" spans="1:9" s="14" customFormat="1" ht="12.75" x14ac:dyDescent="0.2"/>
    <row r="47" spans="1:9" s="14" customFormat="1" ht="12.75" x14ac:dyDescent="0.2"/>
    <row r="48" spans="1:9" s="14" customFormat="1" ht="12.75" x14ac:dyDescent="0.2"/>
    <row r="49" spans="3:4" s="14" customFormat="1" ht="12.75" x14ac:dyDescent="0.2"/>
    <row r="50" spans="3:4" s="14" customFormat="1" ht="12.75" x14ac:dyDescent="0.2">
      <c r="C50" s="14" t="s">
        <v>312</v>
      </c>
      <c r="D50" s="21">
        <f>'[1]Доходы №1'!E37*1000</f>
        <v>29706878</v>
      </c>
    </row>
    <row r="51" spans="3:4" s="14" customFormat="1" ht="12.75" x14ac:dyDescent="0.2">
      <c r="D51" s="21">
        <f>D42</f>
        <v>29706877.590000007</v>
      </c>
    </row>
    <row r="52" spans="3:4" s="14" customFormat="1" ht="12.75" x14ac:dyDescent="0.2">
      <c r="C52" s="14" t="s">
        <v>304</v>
      </c>
      <c r="D52" s="21">
        <f>D50-D51</f>
        <v>0.40999999269843102</v>
      </c>
    </row>
    <row r="53" spans="3:4" s="14" customFormat="1" ht="12.75" x14ac:dyDescent="0.2"/>
    <row r="54" spans="3:4" s="14" customFormat="1" ht="12.75" x14ac:dyDescent="0.2"/>
    <row r="55" spans="3:4" s="14" customFormat="1" ht="12.75" x14ac:dyDescent="0.2"/>
    <row r="56" spans="3:4" s="14" customFormat="1" ht="12.75" x14ac:dyDescent="0.2"/>
    <row r="57" spans="3:4" s="14" customFormat="1" ht="12.75" x14ac:dyDescent="0.2"/>
    <row r="58" spans="3:4" s="14" customFormat="1" ht="12.75" x14ac:dyDescent="0.2"/>
    <row r="59" spans="3:4" s="14" customFormat="1" ht="12.75" x14ac:dyDescent="0.2"/>
    <row r="60" spans="3:4" s="14" customFormat="1" ht="12.75" x14ac:dyDescent="0.2"/>
  </sheetData>
  <mergeCells count="8">
    <mergeCell ref="A8:E8"/>
    <mergeCell ref="A7:E7"/>
    <mergeCell ref="C1:F1"/>
    <mergeCell ref="C2:F2"/>
    <mergeCell ref="C4:F4"/>
    <mergeCell ref="D5:F5"/>
    <mergeCell ref="A6:E6"/>
    <mergeCell ref="C3:F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F4" sqref="F4:H4"/>
    </sheetView>
  </sheetViews>
  <sheetFormatPr defaultRowHeight="15" x14ac:dyDescent="0.25"/>
  <cols>
    <col min="1" max="1" width="4.28515625" customWidth="1"/>
    <col min="2" max="2" width="25.7109375" customWidth="1"/>
    <col min="3" max="3" width="10.140625" bestFit="1" customWidth="1"/>
    <col min="4" max="5" width="10.5703125" customWidth="1"/>
    <col min="6" max="6" width="10.42578125" customWidth="1"/>
    <col min="7" max="7" width="12" customWidth="1"/>
    <col min="8" max="8" width="12.5703125" customWidth="1"/>
  </cols>
  <sheetData>
    <row r="1" spans="1:8" x14ac:dyDescent="0.25">
      <c r="A1" s="99"/>
      <c r="B1" s="569"/>
      <c r="C1" s="569"/>
      <c r="D1" s="569"/>
      <c r="E1" s="569"/>
      <c r="F1" s="569"/>
      <c r="G1" s="569"/>
      <c r="H1" s="569"/>
    </row>
    <row r="2" spans="1:8" x14ac:dyDescent="0.25">
      <c r="A2" s="99"/>
      <c r="B2" s="451"/>
      <c r="C2" s="451"/>
      <c r="D2" s="451"/>
      <c r="E2" s="451"/>
      <c r="F2" s="570" t="s">
        <v>608</v>
      </c>
      <c r="G2" s="570"/>
      <c r="H2" s="570"/>
    </row>
    <row r="3" spans="1:8" x14ac:dyDescent="0.25">
      <c r="A3" s="451"/>
      <c r="B3" s="451"/>
      <c r="C3" s="451"/>
      <c r="D3" s="451"/>
      <c r="E3" s="451"/>
      <c r="F3" s="570" t="s">
        <v>603</v>
      </c>
      <c r="G3" s="570"/>
      <c r="H3" s="570"/>
    </row>
    <row r="4" spans="1:8" x14ac:dyDescent="0.25">
      <c r="A4" s="451"/>
      <c r="B4" s="451"/>
      <c r="C4" s="451"/>
      <c r="D4" s="451"/>
      <c r="E4" s="451"/>
      <c r="F4" s="570" t="s">
        <v>625</v>
      </c>
      <c r="G4" s="570"/>
      <c r="H4" s="570"/>
    </row>
    <row r="5" spans="1:8" x14ac:dyDescent="0.25">
      <c r="A5" s="569"/>
      <c r="B5" s="569"/>
      <c r="C5" s="569"/>
      <c r="D5" s="569"/>
      <c r="E5" s="569"/>
      <c r="F5" s="569"/>
      <c r="G5" s="569"/>
      <c r="H5" s="569"/>
    </row>
    <row r="6" spans="1:8" x14ac:dyDescent="0.25">
      <c r="A6" s="573" t="s">
        <v>247</v>
      </c>
      <c r="B6" s="573"/>
      <c r="C6" s="573"/>
      <c r="D6" s="573"/>
      <c r="E6" s="573"/>
      <c r="F6" s="573"/>
      <c r="G6" s="573"/>
      <c r="H6" s="573"/>
    </row>
    <row r="7" spans="1:8" x14ac:dyDescent="0.25">
      <c r="A7" s="573" t="s">
        <v>133</v>
      </c>
      <c r="B7" s="573"/>
      <c r="C7" s="573"/>
      <c r="D7" s="573"/>
      <c r="E7" s="573"/>
      <c r="F7" s="573"/>
      <c r="G7" s="573"/>
      <c r="H7" s="573"/>
    </row>
    <row r="8" spans="1:8" x14ac:dyDescent="0.25">
      <c r="A8" s="573" t="s">
        <v>313</v>
      </c>
      <c r="B8" s="573"/>
      <c r="C8" s="573"/>
      <c r="D8" s="573"/>
      <c r="E8" s="573"/>
      <c r="F8" s="573"/>
      <c r="G8" s="573"/>
      <c r="H8" s="573"/>
    </row>
    <row r="9" spans="1:8" x14ac:dyDescent="0.25">
      <c r="A9" s="213"/>
      <c r="B9" s="213"/>
      <c r="C9" s="213"/>
      <c r="D9" s="213"/>
      <c r="E9" s="213"/>
      <c r="F9" s="14"/>
    </row>
    <row r="10" spans="1:8" x14ac:dyDescent="0.25">
      <c r="A10" s="213"/>
      <c r="B10" s="213"/>
      <c r="C10" s="213"/>
      <c r="D10" s="213"/>
      <c r="E10" s="213"/>
      <c r="F10" s="14"/>
    </row>
    <row r="11" spans="1:8" x14ac:dyDescent="0.25">
      <c r="A11" s="595" t="s">
        <v>3</v>
      </c>
      <c r="B11" s="595" t="s">
        <v>118</v>
      </c>
      <c r="C11" s="595" t="s">
        <v>248</v>
      </c>
      <c r="D11" s="595" t="s">
        <v>249</v>
      </c>
      <c r="E11" s="595"/>
      <c r="F11" s="595"/>
      <c r="G11" s="595"/>
      <c r="H11" s="595"/>
    </row>
    <row r="12" spans="1:8" ht="26.25" x14ac:dyDescent="0.25">
      <c r="A12" s="595"/>
      <c r="B12" s="595"/>
      <c r="C12" s="595"/>
      <c r="D12" s="198" t="s">
        <v>250</v>
      </c>
      <c r="E12" s="198" t="s">
        <v>251</v>
      </c>
      <c r="F12" s="199" t="s">
        <v>252</v>
      </c>
      <c r="G12" s="200" t="s">
        <v>253</v>
      </c>
      <c r="H12" s="200" t="s">
        <v>314</v>
      </c>
    </row>
    <row r="13" spans="1:8" x14ac:dyDescent="0.25">
      <c r="A13" s="201">
        <v>1</v>
      </c>
      <c r="B13" s="201" t="str">
        <f>'[1]учительство  '!B5</f>
        <v xml:space="preserve"> МКОУ Алак СОШ лицей</v>
      </c>
      <c r="C13" s="202">
        <f>[1]Школы!W10</f>
        <v>20</v>
      </c>
      <c r="D13" s="203">
        <f>E13+F13</f>
        <v>1545369.8399999999</v>
      </c>
      <c r="E13" s="203">
        <f>[1]Школы!CU10</f>
        <v>1186920</v>
      </c>
      <c r="F13" s="203">
        <f>[1]Школы!CV10</f>
        <v>358449.83999999997</v>
      </c>
      <c r="G13" s="8">
        <f>D13</f>
        <v>1545369.8399999999</v>
      </c>
      <c r="H13" s="8">
        <f>D13</f>
        <v>1545369.8399999999</v>
      </c>
    </row>
    <row r="14" spans="1:8" x14ac:dyDescent="0.25">
      <c r="A14" s="20">
        <v>2</v>
      </c>
      <c r="B14" s="20" t="str">
        <f>'[1]учительство  '!B6</f>
        <v xml:space="preserve"> МКОУ Анди СОШ №1</v>
      </c>
      <c r="C14" s="202">
        <f>[1]Школы!W11</f>
        <v>20</v>
      </c>
      <c r="D14" s="203">
        <f t="shared" ref="D14:D43" si="0">E14+F14</f>
        <v>1779729.8399999999</v>
      </c>
      <c r="E14" s="203">
        <f>[1]Школы!CU11</f>
        <v>1366920</v>
      </c>
      <c r="F14" s="203">
        <f>[1]Школы!CV11</f>
        <v>412809.83999999997</v>
      </c>
      <c r="G14" s="8">
        <f t="shared" ref="G14:G43" si="1">D14</f>
        <v>1779729.8399999999</v>
      </c>
      <c r="H14" s="8">
        <f t="shared" ref="H14:H43" si="2">D14</f>
        <v>1779729.8399999999</v>
      </c>
    </row>
    <row r="15" spans="1:8" x14ac:dyDescent="0.25">
      <c r="A15" s="20">
        <v>3</v>
      </c>
      <c r="B15" s="20" t="str">
        <f>'[1]учительство  '!B7</f>
        <v xml:space="preserve"> МКОУ Анди СОШ №2 </v>
      </c>
      <c r="C15" s="202">
        <f>[1]Школы!W12</f>
        <v>21</v>
      </c>
      <c r="D15" s="203">
        <f t="shared" si="0"/>
        <v>1868716.3319999999</v>
      </c>
      <c r="E15" s="203">
        <f>[1]Школы!CU12</f>
        <v>1435266</v>
      </c>
      <c r="F15" s="203">
        <f>[1]Школы!CV12</f>
        <v>433450.33199999999</v>
      </c>
      <c r="G15" s="8">
        <f t="shared" si="1"/>
        <v>1868716.3319999999</v>
      </c>
      <c r="H15" s="8">
        <f t="shared" si="2"/>
        <v>1868716.3319999999</v>
      </c>
    </row>
    <row r="16" spans="1:8" x14ac:dyDescent="0.25">
      <c r="A16" s="20">
        <v>4</v>
      </c>
      <c r="B16" s="20" t="str">
        <f>'[1]учительство  '!B8</f>
        <v xml:space="preserve"> МКОУ Ансалта СОШ</v>
      </c>
      <c r="C16" s="202">
        <f>[1]Школы!W13</f>
        <v>24</v>
      </c>
      <c r="D16" s="203">
        <f t="shared" si="0"/>
        <v>1854443.808</v>
      </c>
      <c r="E16" s="203">
        <f>[1]Школы!CU13</f>
        <v>1424304</v>
      </c>
      <c r="F16" s="203">
        <f>[1]Школы!CV13</f>
        <v>430139.80799999996</v>
      </c>
      <c r="G16" s="8">
        <f t="shared" si="1"/>
        <v>1854443.808</v>
      </c>
      <c r="H16" s="8">
        <f t="shared" si="2"/>
        <v>1854443.808</v>
      </c>
    </row>
    <row r="17" spans="1:8" x14ac:dyDescent="0.25">
      <c r="A17" s="20">
        <v>5</v>
      </c>
      <c r="B17" s="20" t="str">
        <f>'[1]учительство  '!B9</f>
        <v xml:space="preserve"> МКОУ Ашали ООШ</v>
      </c>
      <c r="C17" s="202">
        <f>[1]Школы!W14</f>
        <v>9</v>
      </c>
      <c r="D17" s="203">
        <f t="shared" si="0"/>
        <v>800878.42799999996</v>
      </c>
      <c r="E17" s="203">
        <f>[1]Школы!CU14</f>
        <v>615114</v>
      </c>
      <c r="F17" s="203">
        <f>[1]Школы!CV14</f>
        <v>185764.42799999999</v>
      </c>
      <c r="G17" s="8">
        <f t="shared" si="1"/>
        <v>800878.42799999996</v>
      </c>
      <c r="H17" s="8">
        <f t="shared" si="2"/>
        <v>800878.42799999996</v>
      </c>
    </row>
    <row r="18" spans="1:8" x14ac:dyDescent="0.25">
      <c r="A18" s="20">
        <v>6</v>
      </c>
      <c r="B18" s="20" t="str">
        <f>'[1]учительство  '!B10</f>
        <v xml:space="preserve">МКОУ БСШ №1 </v>
      </c>
      <c r="C18" s="202">
        <f>[1]Школы!W15</f>
        <v>34</v>
      </c>
      <c r="D18" s="203">
        <f t="shared" si="0"/>
        <v>2627128.7280000001</v>
      </c>
      <c r="E18" s="203">
        <f>[1]Школы!CU15</f>
        <v>2017764</v>
      </c>
      <c r="F18" s="203">
        <f>[1]Школы!CV15</f>
        <v>609364.728</v>
      </c>
      <c r="G18" s="8">
        <f t="shared" si="1"/>
        <v>2627128.7280000001</v>
      </c>
      <c r="H18" s="8">
        <f t="shared" si="2"/>
        <v>2627128.7280000001</v>
      </c>
    </row>
    <row r="19" spans="1:8" x14ac:dyDescent="0.25">
      <c r="A19" s="20">
        <v>7</v>
      </c>
      <c r="B19" s="20" t="str">
        <f>'[1]учительство  '!B11</f>
        <v xml:space="preserve"> МКОУ БСШ №2</v>
      </c>
      <c r="C19" s="202">
        <f>[1]Школы!W16</f>
        <v>32</v>
      </c>
      <c r="D19" s="203">
        <f t="shared" si="0"/>
        <v>2472591.7439999999</v>
      </c>
      <c r="E19" s="203">
        <f>[1]Школы!CU16</f>
        <v>1899072</v>
      </c>
      <c r="F19" s="203">
        <f>[1]Школы!CV16</f>
        <v>573519.74399999995</v>
      </c>
      <c r="G19" s="8">
        <f t="shared" si="1"/>
        <v>2472591.7439999999</v>
      </c>
      <c r="H19" s="8">
        <f t="shared" si="2"/>
        <v>2472591.7439999999</v>
      </c>
    </row>
    <row r="20" spans="1:8" x14ac:dyDescent="0.25">
      <c r="A20" s="20">
        <v>8</v>
      </c>
      <c r="B20" s="20" t="str">
        <f>'[1]учительство  '!B12</f>
        <v xml:space="preserve">МКОУ БСШ №3 </v>
      </c>
      <c r="C20" s="202">
        <f>[1]Школы!W17</f>
        <v>11</v>
      </c>
      <c r="D20" s="203">
        <f t="shared" si="0"/>
        <v>849953.41200000001</v>
      </c>
      <c r="E20" s="203">
        <f>[1]Школы!CU17</f>
        <v>652806</v>
      </c>
      <c r="F20" s="203">
        <f>[1]Школы!CV17</f>
        <v>197147.41199999998</v>
      </c>
      <c r="G20" s="8">
        <f t="shared" si="1"/>
        <v>849953.41200000001</v>
      </c>
      <c r="H20" s="8">
        <f t="shared" si="2"/>
        <v>849953.41200000001</v>
      </c>
    </row>
    <row r="21" spans="1:8" x14ac:dyDescent="0.25">
      <c r="A21" s="20">
        <v>9</v>
      </c>
      <c r="B21" s="20" t="str">
        <f>'[1]учительство  '!B13</f>
        <v xml:space="preserve">МКОУ Гагатли СОШ </v>
      </c>
      <c r="C21" s="202">
        <f>[1]Школы!W18</f>
        <v>20</v>
      </c>
      <c r="D21" s="203">
        <f t="shared" si="0"/>
        <v>1779729.8399999999</v>
      </c>
      <c r="E21" s="203">
        <f>[1]Школы!CU18</f>
        <v>1366920</v>
      </c>
      <c r="F21" s="203">
        <f>[1]Школы!CV18</f>
        <v>412809.83999999997</v>
      </c>
      <c r="G21" s="8">
        <f t="shared" si="1"/>
        <v>1779729.8399999999</v>
      </c>
      <c r="H21" s="8">
        <f t="shared" si="2"/>
        <v>1779729.8399999999</v>
      </c>
    </row>
    <row r="22" spans="1:8" x14ac:dyDescent="0.25">
      <c r="A22" s="20">
        <v>10</v>
      </c>
      <c r="B22" s="20" t="str">
        <f>'[1]учительство  '!B14</f>
        <v xml:space="preserve"> МКОУ Годобери СОШ  </v>
      </c>
      <c r="C22" s="202">
        <f>[1]Школы!W19</f>
        <v>26</v>
      </c>
      <c r="D22" s="203">
        <f t="shared" si="0"/>
        <v>2313643.5839999998</v>
      </c>
      <c r="E22" s="203">
        <f>[1]Школы!CU19</f>
        <v>1776991.9999999998</v>
      </c>
      <c r="F22" s="203">
        <f>[1]Школы!CV19</f>
        <v>536651.58399999992</v>
      </c>
      <c r="G22" s="8">
        <f t="shared" si="1"/>
        <v>2313643.5839999998</v>
      </c>
      <c r="H22" s="8">
        <f t="shared" si="2"/>
        <v>2313643.5839999998</v>
      </c>
    </row>
    <row r="23" spans="1:8" x14ac:dyDescent="0.25">
      <c r="A23" s="20">
        <v>11</v>
      </c>
      <c r="B23" s="20" t="str">
        <f>'[1]учительство  '!B15</f>
        <v xml:space="preserve"> МКОУ Зило СОШ  </v>
      </c>
      <c r="C23" s="202">
        <f>[1]Школы!W20</f>
        <v>11</v>
      </c>
      <c r="D23" s="203">
        <f t="shared" si="0"/>
        <v>978851.41199999978</v>
      </c>
      <c r="E23" s="203">
        <f>[1]Школы!CU20</f>
        <v>751805.99999999988</v>
      </c>
      <c r="F23" s="203">
        <f>[1]Школы!CV20</f>
        <v>227045.41199999995</v>
      </c>
      <c r="G23" s="8">
        <f t="shared" si="1"/>
        <v>978851.41199999978</v>
      </c>
      <c r="H23" s="8">
        <f t="shared" si="2"/>
        <v>978851.41199999978</v>
      </c>
    </row>
    <row r="24" spans="1:8" x14ac:dyDescent="0.25">
      <c r="A24" s="20">
        <v>12</v>
      </c>
      <c r="B24" s="20" t="str">
        <f>'[1]учительство  '!B16</f>
        <v xml:space="preserve"> МКОУ Кванхидатли ООШ  </v>
      </c>
      <c r="C24" s="202">
        <f>[1]Школы!W21</f>
        <v>9</v>
      </c>
      <c r="D24" s="203">
        <f t="shared" si="0"/>
        <v>695416.42799999996</v>
      </c>
      <c r="E24" s="203">
        <f>[1]Школы!CU21</f>
        <v>534114</v>
      </c>
      <c r="F24" s="203">
        <f>[1]Школы!CV21</f>
        <v>161302.42799999999</v>
      </c>
      <c r="G24" s="8">
        <f t="shared" si="1"/>
        <v>695416.42799999996</v>
      </c>
      <c r="H24" s="8">
        <f t="shared" si="2"/>
        <v>695416.42799999996</v>
      </c>
    </row>
    <row r="25" spans="1:8" x14ac:dyDescent="0.25">
      <c r="A25" s="20">
        <v>13</v>
      </c>
      <c r="B25" s="20" t="str">
        <f>'[1]учительство  '!B17</f>
        <v xml:space="preserve"> МКОУ Миарсо СОШ  </v>
      </c>
      <c r="C25" s="202">
        <f>[1]Школы!W22</f>
        <v>17</v>
      </c>
      <c r="D25" s="203">
        <f t="shared" si="0"/>
        <v>1313564.3640000001</v>
      </c>
      <c r="E25" s="203">
        <f>[1]Школы!CU22</f>
        <v>1008882</v>
      </c>
      <c r="F25" s="203">
        <f>[1]Школы!CV22</f>
        <v>304682.364</v>
      </c>
      <c r="G25" s="8">
        <f t="shared" si="1"/>
        <v>1313564.3640000001</v>
      </c>
      <c r="H25" s="8">
        <f t="shared" si="2"/>
        <v>1313564.3640000001</v>
      </c>
    </row>
    <row r="26" spans="1:8" x14ac:dyDescent="0.25">
      <c r="A26" s="20">
        <v>14</v>
      </c>
      <c r="B26" s="20" t="str">
        <f>'[1]учительство  '!B18</f>
        <v xml:space="preserve"> МКОУ Муни СОШ  </v>
      </c>
      <c r="C26" s="202">
        <f>[1]Школы!W23</f>
        <v>25</v>
      </c>
      <c r="D26" s="203">
        <f t="shared" si="0"/>
        <v>1931712.3</v>
      </c>
      <c r="E26" s="203">
        <f>[1]Школы!CU23</f>
        <v>1483650</v>
      </c>
      <c r="F26" s="203">
        <f>[1]Школы!CV23</f>
        <v>448062.3</v>
      </c>
      <c r="G26" s="8">
        <f t="shared" si="1"/>
        <v>1931712.3</v>
      </c>
      <c r="H26" s="8">
        <f t="shared" si="2"/>
        <v>1931712.3</v>
      </c>
    </row>
    <row r="27" spans="1:8" x14ac:dyDescent="0.25">
      <c r="A27" s="20">
        <v>15</v>
      </c>
      <c r="B27" s="20" t="str">
        <f>'[1]учительство  '!B19</f>
        <v xml:space="preserve"> МКОУ Ортоколо СОШ  </v>
      </c>
      <c r="C27" s="202">
        <f>[1]Школы!W24</f>
        <v>11</v>
      </c>
      <c r="D27" s="203">
        <f t="shared" si="0"/>
        <v>849953.41200000001</v>
      </c>
      <c r="E27" s="203">
        <f>[1]Школы!CU24</f>
        <v>652806</v>
      </c>
      <c r="F27" s="203">
        <f>[1]Школы!CV24</f>
        <v>197147.41199999998</v>
      </c>
      <c r="G27" s="8">
        <f t="shared" si="1"/>
        <v>849953.41200000001</v>
      </c>
      <c r="H27" s="8">
        <f t="shared" si="2"/>
        <v>849953.41200000001</v>
      </c>
    </row>
    <row r="28" spans="1:8" x14ac:dyDescent="0.25">
      <c r="A28" s="20">
        <v>16</v>
      </c>
      <c r="B28" s="20" t="str">
        <f>'[1]учительство  '!B20</f>
        <v xml:space="preserve"> МКОУ Рахата СОШ  </v>
      </c>
      <c r="C28" s="202">
        <f>[1]Школы!W25</f>
        <v>27</v>
      </c>
      <c r="D28" s="203">
        <f t="shared" si="0"/>
        <v>2086249.284</v>
      </c>
      <c r="E28" s="203">
        <f>[1]Школы!CU25</f>
        <v>1602342</v>
      </c>
      <c r="F28" s="203">
        <f>[1]Школы!CV25</f>
        <v>483907.28399999999</v>
      </c>
      <c r="G28" s="8">
        <f t="shared" si="1"/>
        <v>2086249.284</v>
      </c>
      <c r="H28" s="8">
        <f t="shared" si="2"/>
        <v>2086249.284</v>
      </c>
    </row>
    <row r="29" spans="1:8" x14ac:dyDescent="0.25">
      <c r="A29" s="20">
        <v>17</v>
      </c>
      <c r="B29" s="20" t="str">
        <f>'[1]учительство  '!B21</f>
        <v xml:space="preserve"> МКОУ Риквани СОШ  </v>
      </c>
      <c r="C29" s="202">
        <f>[1]Школы!W26</f>
        <v>10</v>
      </c>
      <c r="D29" s="203">
        <f t="shared" si="0"/>
        <v>889864.91999999993</v>
      </c>
      <c r="E29" s="203">
        <f>[1]Школы!CU26</f>
        <v>683460</v>
      </c>
      <c r="F29" s="203">
        <f>[1]Школы!CV26</f>
        <v>206404.91999999998</v>
      </c>
      <c r="G29" s="8">
        <f t="shared" si="1"/>
        <v>889864.91999999993</v>
      </c>
      <c r="H29" s="8">
        <f t="shared" si="2"/>
        <v>889864.91999999993</v>
      </c>
    </row>
    <row r="30" spans="1:8" x14ac:dyDescent="0.25">
      <c r="A30" s="20">
        <v>18</v>
      </c>
      <c r="B30" s="20" t="str">
        <f>'[1]учительство  '!B22</f>
        <v xml:space="preserve"> МКОУ Тандо СОШ  </v>
      </c>
      <c r="C30" s="202">
        <f>[1]Школы!W27</f>
        <v>11</v>
      </c>
      <c r="D30" s="203">
        <f t="shared" si="0"/>
        <v>849953.41200000001</v>
      </c>
      <c r="E30" s="203">
        <f>[1]Школы!CU27</f>
        <v>652806</v>
      </c>
      <c r="F30" s="203">
        <f>[1]Школы!CV27</f>
        <v>197147.41199999998</v>
      </c>
      <c r="G30" s="8">
        <f t="shared" si="1"/>
        <v>849953.41200000001</v>
      </c>
      <c r="H30" s="8">
        <f t="shared" si="2"/>
        <v>849953.41200000001</v>
      </c>
    </row>
    <row r="31" spans="1:8" x14ac:dyDescent="0.25">
      <c r="A31" s="20">
        <v>19</v>
      </c>
      <c r="B31" s="20" t="str">
        <f>'[1]учительство  '!B23</f>
        <v xml:space="preserve"> МКОУ Тасута ООШ  </v>
      </c>
      <c r="C31" s="202">
        <f>[1]Школы!W28</f>
        <v>9</v>
      </c>
      <c r="D31" s="203">
        <f t="shared" si="0"/>
        <v>800878.42799999996</v>
      </c>
      <c r="E31" s="203">
        <f>[1]Школы!CU28</f>
        <v>615114</v>
      </c>
      <c r="F31" s="203">
        <f>[1]Школы!CV28</f>
        <v>185764.42799999999</v>
      </c>
      <c r="G31" s="8">
        <f t="shared" si="1"/>
        <v>800878.42799999996</v>
      </c>
      <c r="H31" s="8">
        <f t="shared" si="2"/>
        <v>800878.42799999996</v>
      </c>
    </row>
    <row r="32" spans="1:8" x14ac:dyDescent="0.25">
      <c r="A32" s="20">
        <v>20</v>
      </c>
      <c r="B32" s="20" t="str">
        <f>'[1]учительство  '!B24</f>
        <v xml:space="preserve"> МКОУ Тлох СОШ  </v>
      </c>
      <c r="C32" s="202">
        <f>[1]Школы!W29</f>
        <v>27</v>
      </c>
      <c r="D32" s="203">
        <f t="shared" si="0"/>
        <v>2086249.284</v>
      </c>
      <c r="E32" s="203">
        <f>[1]Школы!CU29</f>
        <v>1602342</v>
      </c>
      <c r="F32" s="203">
        <f>[1]Школы!CV29</f>
        <v>483907.28399999999</v>
      </c>
      <c r="G32" s="8">
        <f t="shared" si="1"/>
        <v>2086249.284</v>
      </c>
      <c r="H32" s="8">
        <f t="shared" si="2"/>
        <v>2086249.284</v>
      </c>
    </row>
    <row r="33" spans="1:10" x14ac:dyDescent="0.25">
      <c r="A33" s="20">
        <v>21</v>
      </c>
      <c r="B33" s="20" t="str">
        <f>'[1]учительство  '!B25</f>
        <v xml:space="preserve"> МКОУ Хелетури СОШ  </v>
      </c>
      <c r="C33" s="202">
        <f>[1]Школы!W30</f>
        <v>11</v>
      </c>
      <c r="D33" s="203">
        <f t="shared" si="0"/>
        <v>978851.41199999978</v>
      </c>
      <c r="E33" s="203">
        <f>[1]Школы!CU30</f>
        <v>751805.99999999988</v>
      </c>
      <c r="F33" s="203">
        <f>[1]Школы!CV30</f>
        <v>227045.41199999995</v>
      </c>
      <c r="G33" s="8">
        <f t="shared" si="1"/>
        <v>978851.41199999978</v>
      </c>
      <c r="H33" s="8">
        <f t="shared" si="2"/>
        <v>978851.41199999978</v>
      </c>
    </row>
    <row r="34" spans="1:10" x14ac:dyDescent="0.25">
      <c r="A34" s="20">
        <v>22</v>
      </c>
      <c r="B34" s="20" t="str">
        <f>'[1]учительство  '!B26</f>
        <v xml:space="preserve"> МКОУ Чанко СОШ  </v>
      </c>
      <c r="C34" s="202">
        <f>[1]Школы!W31</f>
        <v>11</v>
      </c>
      <c r="D34" s="203">
        <f t="shared" si="0"/>
        <v>978851.41199999978</v>
      </c>
      <c r="E34" s="203">
        <f>[1]Школы!CU31</f>
        <v>751805.99999999988</v>
      </c>
      <c r="F34" s="203">
        <f>[1]Школы!CV31</f>
        <v>227045.41199999995</v>
      </c>
      <c r="G34" s="8">
        <f t="shared" si="1"/>
        <v>978851.41199999978</v>
      </c>
      <c r="H34" s="8">
        <f t="shared" si="2"/>
        <v>978851.41199999978</v>
      </c>
    </row>
    <row r="35" spans="1:10" x14ac:dyDescent="0.25">
      <c r="A35" s="20">
        <v>23</v>
      </c>
      <c r="B35" s="20" t="str">
        <f>'[1]учительство  '!B27</f>
        <v xml:space="preserve"> МКОУ Шодрода СОШ  </v>
      </c>
      <c r="C35" s="202">
        <f>[1]Школы!W32</f>
        <v>11</v>
      </c>
      <c r="D35" s="203">
        <f t="shared" si="0"/>
        <v>849953.41200000001</v>
      </c>
      <c r="E35" s="203">
        <f>[1]Школы!CU32</f>
        <v>652806</v>
      </c>
      <c r="F35" s="203">
        <f>[1]Школы!CV32</f>
        <v>197147.41199999998</v>
      </c>
      <c r="G35" s="8">
        <f t="shared" si="1"/>
        <v>849953.41200000001</v>
      </c>
      <c r="H35" s="8">
        <f t="shared" si="2"/>
        <v>849953.41200000001</v>
      </c>
    </row>
    <row r="36" spans="1:10" x14ac:dyDescent="0.25">
      <c r="A36" s="20">
        <v>24</v>
      </c>
      <c r="B36" s="20" t="str">
        <f>'[1]учительство  '!B28</f>
        <v xml:space="preserve"> МКОУ Инхело ООШ  </v>
      </c>
      <c r="C36" s="202">
        <f>[1]Школы!W33</f>
        <v>12</v>
      </c>
      <c r="D36" s="203">
        <f t="shared" si="0"/>
        <v>927221.90399999998</v>
      </c>
      <c r="E36" s="203">
        <f>[1]Школы!CU33</f>
        <v>712152</v>
      </c>
      <c r="F36" s="203">
        <f>[1]Школы!CV33</f>
        <v>215069.90399999998</v>
      </c>
      <c r="G36" s="8">
        <f t="shared" si="1"/>
        <v>927221.90399999998</v>
      </c>
      <c r="H36" s="8">
        <f t="shared" si="2"/>
        <v>927221.90399999998</v>
      </c>
    </row>
    <row r="37" spans="1:10" x14ac:dyDescent="0.25">
      <c r="A37" s="20">
        <v>25</v>
      </c>
      <c r="B37" s="20" t="str">
        <f>'[1]учительство  '!B29</f>
        <v xml:space="preserve"> МКОУ Кижани ООШ  </v>
      </c>
      <c r="C37" s="202">
        <f>[1]Школы!W34</f>
        <v>9</v>
      </c>
      <c r="D37" s="203">
        <f t="shared" si="0"/>
        <v>800878.42799999996</v>
      </c>
      <c r="E37" s="203">
        <f>[1]Школы!CU34</f>
        <v>615114</v>
      </c>
      <c r="F37" s="203">
        <f>[1]Школы!CV34</f>
        <v>185764.42799999999</v>
      </c>
      <c r="G37" s="8">
        <f t="shared" si="1"/>
        <v>800878.42799999996</v>
      </c>
      <c r="H37" s="8">
        <f t="shared" si="2"/>
        <v>800878.42799999996</v>
      </c>
    </row>
    <row r="38" spans="1:10" x14ac:dyDescent="0.25">
      <c r="A38" s="20">
        <v>26</v>
      </c>
      <c r="B38" s="20" t="str">
        <f>'[1]учительство  '!B30</f>
        <v xml:space="preserve"> МКОУ Беледи НОШ  </v>
      </c>
      <c r="C38" s="202">
        <f>[1]Школы!W35</f>
        <v>1</v>
      </c>
      <c r="D38" s="203">
        <f t="shared" si="0"/>
        <v>88986.491999999998</v>
      </c>
      <c r="E38" s="203">
        <f>[1]Школы!CU35</f>
        <v>68346</v>
      </c>
      <c r="F38" s="203">
        <f>[1]Школы!CV35</f>
        <v>20640.491999999998</v>
      </c>
      <c r="G38" s="8">
        <f t="shared" si="1"/>
        <v>88986.491999999998</v>
      </c>
      <c r="H38" s="8">
        <f t="shared" si="2"/>
        <v>88986.491999999998</v>
      </c>
    </row>
    <row r="39" spans="1:10" x14ac:dyDescent="0.25">
      <c r="A39" s="20">
        <v>27</v>
      </c>
      <c r="B39" s="20" t="str">
        <f>'[1]учительство  '!B31</f>
        <v xml:space="preserve"> МКОУ В-Алак НОШ  </v>
      </c>
      <c r="C39" s="202">
        <f>[1]Школы!W36</f>
        <v>2</v>
      </c>
      <c r="D39" s="203">
        <f t="shared" si="0"/>
        <v>177972.984</v>
      </c>
      <c r="E39" s="203">
        <f>[1]Школы!CU36</f>
        <v>136692</v>
      </c>
      <c r="F39" s="203">
        <f>[1]Школы!CV36</f>
        <v>41280.983999999997</v>
      </c>
      <c r="G39" s="8">
        <f t="shared" si="1"/>
        <v>177972.984</v>
      </c>
      <c r="H39" s="8">
        <f t="shared" si="2"/>
        <v>177972.984</v>
      </c>
      <c r="J39">
        <f>'[1]Доходы №1'!E49*1000</f>
        <v>35688078</v>
      </c>
    </row>
    <row r="40" spans="1:10" x14ac:dyDescent="0.25">
      <c r="A40" s="20">
        <v>28</v>
      </c>
      <c r="B40" s="20" t="str">
        <f>'[1]учительство  '!B32</f>
        <v xml:space="preserve"> МКОУ Гунха НОШ  </v>
      </c>
      <c r="C40" s="202">
        <f>[1]Школы!W37</f>
        <v>2</v>
      </c>
      <c r="D40" s="203">
        <f t="shared" si="0"/>
        <v>177972.984</v>
      </c>
      <c r="E40" s="203">
        <f>[1]Школы!CU37</f>
        <v>136692</v>
      </c>
      <c r="F40" s="203">
        <f>[1]Школы!CV37</f>
        <v>41280.983999999997</v>
      </c>
      <c r="G40" s="8">
        <f t="shared" si="1"/>
        <v>177972.984</v>
      </c>
      <c r="H40" s="8">
        <f t="shared" si="2"/>
        <v>177972.984</v>
      </c>
      <c r="J40">
        <v>36060192</v>
      </c>
    </row>
    <row r="41" spans="1:10" x14ac:dyDescent="0.25">
      <c r="A41" s="20">
        <v>29</v>
      </c>
      <c r="B41" s="20" t="str">
        <f>'[1]учительство  '!B33</f>
        <v xml:space="preserve"> МКОУ Зибирхали НОШ  </v>
      </c>
      <c r="C41" s="202">
        <f>[1]Школы!W38</f>
        <v>1</v>
      </c>
      <c r="D41" s="203">
        <f t="shared" si="0"/>
        <v>88986.491999999998</v>
      </c>
      <c r="E41" s="203">
        <f>[1]Школы!CU38</f>
        <v>68346</v>
      </c>
      <c r="F41" s="203">
        <f>[1]Школы!CV38</f>
        <v>20640.491999999998</v>
      </c>
      <c r="G41" s="8">
        <f t="shared" si="1"/>
        <v>88986.491999999998</v>
      </c>
      <c r="H41" s="8">
        <f t="shared" si="2"/>
        <v>88986.491999999998</v>
      </c>
      <c r="J41" t="s">
        <v>315</v>
      </c>
    </row>
    <row r="42" spans="1:10" x14ac:dyDescent="0.25">
      <c r="A42" s="20">
        <v>30</v>
      </c>
      <c r="B42" s="20" t="str">
        <f>'[1]учительство  '!B34</f>
        <v xml:space="preserve"> МКОУ Н-Алак НОШ  </v>
      </c>
      <c r="C42" s="202">
        <f>[1]Школы!W39</f>
        <v>2</v>
      </c>
      <c r="D42" s="203">
        <f t="shared" si="0"/>
        <v>154536.984</v>
      </c>
      <c r="E42" s="203">
        <f>[1]Школы!CU39</f>
        <v>118692</v>
      </c>
      <c r="F42" s="203">
        <f>[1]Школы!CV39</f>
        <v>35844.983999999997</v>
      </c>
      <c r="G42" s="8">
        <f t="shared" si="1"/>
        <v>154536.984</v>
      </c>
      <c r="H42" s="8">
        <f t="shared" si="2"/>
        <v>154536.984</v>
      </c>
    </row>
    <row r="43" spans="1:10" x14ac:dyDescent="0.25">
      <c r="A43" s="20">
        <v>31</v>
      </c>
      <c r="B43" s="20" t="str">
        <f>'[1]учительство  '!B35</f>
        <v xml:space="preserve"> МКОУ Шиворта НОШ  </v>
      </c>
      <c r="C43" s="202">
        <f>[1]Школы!W40</f>
        <v>1</v>
      </c>
      <c r="D43" s="203">
        <f t="shared" si="0"/>
        <v>88986.491999999998</v>
      </c>
      <c r="E43" s="203">
        <f>[1]Школы!CU40</f>
        <v>68346</v>
      </c>
      <c r="F43" s="203">
        <f>[1]Школы!CV40</f>
        <v>20640.491999999998</v>
      </c>
      <c r="G43" s="8">
        <f t="shared" si="1"/>
        <v>88986.491999999998</v>
      </c>
      <c r="H43" s="8">
        <f t="shared" si="2"/>
        <v>88986.491999999998</v>
      </c>
    </row>
    <row r="44" spans="1:10" x14ac:dyDescent="0.25">
      <c r="A44" s="12"/>
      <c r="B44" s="20" t="s">
        <v>1</v>
      </c>
      <c r="C44" s="101">
        <f t="shared" ref="C44:H44" si="3">SUM(C13:C43)</f>
        <v>437</v>
      </c>
      <c r="D44" s="96">
        <f t="shared" si="3"/>
        <v>35688077.795999989</v>
      </c>
      <c r="E44" s="96">
        <f t="shared" si="3"/>
        <v>27410198</v>
      </c>
      <c r="F44" s="96">
        <f t="shared" si="3"/>
        <v>8277879.7959999973</v>
      </c>
      <c r="G44" s="96">
        <f t="shared" si="3"/>
        <v>35688077.795999989</v>
      </c>
      <c r="H44" s="96">
        <f t="shared" si="3"/>
        <v>35688077.795999989</v>
      </c>
    </row>
    <row r="48" spans="1:10" x14ac:dyDescent="0.25">
      <c r="C48" s="1"/>
    </row>
    <row r="49" spans="3:3" x14ac:dyDescent="0.25">
      <c r="C49" s="1"/>
    </row>
  </sheetData>
  <mergeCells count="12">
    <mergeCell ref="A6:H6"/>
    <mergeCell ref="A11:A12"/>
    <mergeCell ref="B11:B12"/>
    <mergeCell ref="C11:C12"/>
    <mergeCell ref="D11:H11"/>
    <mergeCell ref="A7:H7"/>
    <mergeCell ref="A8:H8"/>
    <mergeCell ref="B1:H1"/>
    <mergeCell ref="A5:H5"/>
    <mergeCell ref="F2:H2"/>
    <mergeCell ref="F3:H3"/>
    <mergeCell ref="F4:H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6"/>
  <sheetViews>
    <sheetView zoomScaleNormal="100" workbookViewId="0">
      <selection activeCell="C4" sqref="C4:E4"/>
    </sheetView>
  </sheetViews>
  <sheetFormatPr defaultRowHeight="15" x14ac:dyDescent="0.25"/>
  <cols>
    <col min="1" max="1" width="6" customWidth="1"/>
    <col min="2" max="2" width="58.85546875" customWidth="1"/>
    <col min="3" max="3" width="11.85546875" customWidth="1"/>
  </cols>
  <sheetData>
    <row r="1" spans="1:6" s="2" customFormat="1" ht="15.75" x14ac:dyDescent="0.2">
      <c r="B1" s="53"/>
    </row>
    <row r="2" spans="1:6" s="2" customFormat="1" ht="12.75" x14ac:dyDescent="0.2">
      <c r="B2" s="452"/>
      <c r="C2" s="599" t="s">
        <v>611</v>
      </c>
      <c r="D2" s="599"/>
      <c r="E2" s="599"/>
    </row>
    <row r="3" spans="1:6" s="2" customFormat="1" ht="12.75" x14ac:dyDescent="0.2">
      <c r="C3" s="599" t="s">
        <v>603</v>
      </c>
      <c r="D3" s="599"/>
      <c r="E3" s="599"/>
      <c r="F3" s="452"/>
    </row>
    <row r="4" spans="1:6" s="2" customFormat="1" ht="12.75" x14ac:dyDescent="0.2">
      <c r="B4" s="452"/>
      <c r="C4" s="599" t="s">
        <v>625</v>
      </c>
      <c r="D4" s="599"/>
      <c r="E4" s="599"/>
    </row>
    <row r="5" spans="1:6" s="2" customFormat="1" ht="12.75" x14ac:dyDescent="0.2">
      <c r="B5" s="598"/>
      <c r="C5" s="598"/>
      <c r="D5" s="598"/>
      <c r="E5" s="598"/>
    </row>
    <row r="7" spans="1:6" s="2" customFormat="1" ht="14.25" x14ac:dyDescent="0.2">
      <c r="A7" s="596" t="s">
        <v>102</v>
      </c>
      <c r="B7" s="596"/>
      <c r="C7" s="596"/>
      <c r="D7" s="596"/>
      <c r="E7" s="596"/>
    </row>
    <row r="8" spans="1:6" s="2" customFormat="1" ht="14.25" x14ac:dyDescent="0.2">
      <c r="A8" s="597" t="s">
        <v>609</v>
      </c>
      <c r="B8" s="597"/>
      <c r="C8" s="597"/>
      <c r="D8" s="597"/>
      <c r="E8" s="597"/>
    </row>
    <row r="9" spans="1:6" s="2" customFormat="1" ht="14.25" x14ac:dyDescent="0.2">
      <c r="A9" s="597" t="s">
        <v>610</v>
      </c>
      <c r="B9" s="597"/>
      <c r="C9" s="597"/>
      <c r="D9" s="597"/>
      <c r="E9" s="597"/>
    </row>
    <row r="10" spans="1:6" s="2" customFormat="1" ht="15.75" x14ac:dyDescent="0.25">
      <c r="A10" s="54"/>
      <c r="B10" s="54"/>
      <c r="C10" s="54"/>
    </row>
    <row r="11" spans="1:6" ht="15.75" x14ac:dyDescent="0.25">
      <c r="A11" s="55"/>
      <c r="B11" s="55"/>
    </row>
    <row r="12" spans="1:6" ht="15.75" x14ac:dyDescent="0.25">
      <c r="A12" s="56" t="s">
        <v>3</v>
      </c>
      <c r="B12" s="57" t="s">
        <v>35</v>
      </c>
      <c r="C12" s="58" t="s">
        <v>180</v>
      </c>
      <c r="D12" s="58" t="s">
        <v>220</v>
      </c>
      <c r="E12" s="58" t="s">
        <v>255</v>
      </c>
    </row>
    <row r="13" spans="1:6" ht="15" customHeight="1" x14ac:dyDescent="0.25">
      <c r="A13" s="59"/>
      <c r="B13" s="60"/>
      <c r="C13" s="61"/>
      <c r="D13" s="62"/>
      <c r="E13" s="62"/>
    </row>
    <row r="14" spans="1:6" ht="15.75" x14ac:dyDescent="0.25">
      <c r="A14" s="59" t="s">
        <v>99</v>
      </c>
      <c r="B14" s="63" t="s">
        <v>103</v>
      </c>
      <c r="C14" s="64">
        <f>C15</f>
        <v>2500</v>
      </c>
      <c r="D14" s="65">
        <f>C14</f>
        <v>2500</v>
      </c>
      <c r="E14" s="65">
        <f>C14</f>
        <v>2500</v>
      </c>
    </row>
    <row r="15" spans="1:6" ht="15.75" x14ac:dyDescent="0.25">
      <c r="A15" s="59" t="s">
        <v>100</v>
      </c>
      <c r="B15" s="63" t="s">
        <v>254</v>
      </c>
      <c r="C15" s="64">
        <f>'[1]ВСРБМР 5'!G35/1000</f>
        <v>2500</v>
      </c>
      <c r="D15" s="65">
        <f>C15</f>
        <v>2500</v>
      </c>
      <c r="E15" s="65">
        <f>C15</f>
        <v>2500</v>
      </c>
    </row>
    <row r="16" spans="1:6" ht="15.75" x14ac:dyDescent="0.25">
      <c r="A16" s="59"/>
      <c r="B16" s="60"/>
      <c r="C16" s="259"/>
      <c r="D16" s="65">
        <f>C16</f>
        <v>0</v>
      </c>
      <c r="E16" s="65">
        <f>C16</f>
        <v>0</v>
      </c>
    </row>
  </sheetData>
  <mergeCells count="7">
    <mergeCell ref="A7:E7"/>
    <mergeCell ref="A8:E8"/>
    <mergeCell ref="A9:E9"/>
    <mergeCell ref="B5:E5"/>
    <mergeCell ref="C2:E2"/>
    <mergeCell ref="C3:E3"/>
    <mergeCell ref="C4:E4"/>
  </mergeCells>
  <pageMargins left="0.7" right="0.7" top="0.75" bottom="0.75" header="0.3" footer="0.3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4" sqref="E4:G4"/>
    </sheetView>
  </sheetViews>
  <sheetFormatPr defaultColWidth="8.7109375" defaultRowHeight="12.75" x14ac:dyDescent="0.2"/>
  <cols>
    <col min="1" max="1" width="3.85546875" style="3" customWidth="1"/>
    <col min="2" max="5" width="8.7109375" style="3"/>
    <col min="6" max="6" width="24" style="3" customWidth="1"/>
    <col min="7" max="7" width="11.42578125" style="3" customWidth="1"/>
    <col min="8" max="16384" width="8.7109375" style="3"/>
  </cols>
  <sheetData>
    <row r="1" spans="1:8" x14ac:dyDescent="0.2">
      <c r="E1" s="615"/>
      <c r="F1" s="615"/>
      <c r="G1" s="615"/>
    </row>
    <row r="2" spans="1:8" x14ac:dyDescent="0.2">
      <c r="E2" s="540" t="s">
        <v>612</v>
      </c>
      <c r="F2" s="540"/>
      <c r="G2" s="540"/>
    </row>
    <row r="3" spans="1:8" x14ac:dyDescent="0.2">
      <c r="E3" s="540" t="s">
        <v>603</v>
      </c>
      <c r="F3" s="540"/>
      <c r="G3" s="540"/>
    </row>
    <row r="4" spans="1:8" x14ac:dyDescent="0.2">
      <c r="E4" s="540" t="s">
        <v>625</v>
      </c>
      <c r="F4" s="540"/>
      <c r="G4" s="540"/>
    </row>
    <row r="5" spans="1:8" x14ac:dyDescent="0.2">
      <c r="E5" s="616"/>
      <c r="F5" s="616"/>
      <c r="G5" s="616"/>
    </row>
    <row r="7" spans="1:8" x14ac:dyDescent="0.2">
      <c r="A7" s="612" t="s">
        <v>199</v>
      </c>
      <c r="B7" s="612"/>
      <c r="C7" s="612"/>
      <c r="D7" s="612"/>
      <c r="E7" s="612"/>
      <c r="F7" s="612"/>
      <c r="G7" s="612"/>
      <c r="H7" s="612"/>
    </row>
    <row r="8" spans="1:8" x14ac:dyDescent="0.2">
      <c r="A8" s="612" t="s">
        <v>200</v>
      </c>
      <c r="B8" s="612"/>
      <c r="C8" s="612"/>
      <c r="D8" s="612"/>
      <c r="E8" s="612"/>
      <c r="F8" s="612"/>
      <c r="G8" s="612"/>
      <c r="H8" s="612"/>
    </row>
    <row r="9" spans="1:8" x14ac:dyDescent="0.2">
      <c r="A9" s="612" t="s">
        <v>316</v>
      </c>
      <c r="B9" s="612"/>
      <c r="C9" s="612"/>
      <c r="D9" s="612"/>
      <c r="E9" s="612"/>
      <c r="F9" s="612"/>
      <c r="G9" s="612"/>
      <c r="H9" s="612"/>
    </row>
    <row r="10" spans="1:8" x14ac:dyDescent="0.2">
      <c r="A10" s="220"/>
      <c r="B10" s="220"/>
      <c r="C10" s="220"/>
      <c r="D10" s="220"/>
      <c r="E10" s="220"/>
      <c r="F10" s="220"/>
      <c r="G10" s="220"/>
      <c r="H10" s="220"/>
    </row>
    <row r="11" spans="1:8" ht="26.25" x14ac:dyDescent="0.25">
      <c r="A11" s="181" t="s">
        <v>3</v>
      </c>
      <c r="B11" s="613" t="s">
        <v>138</v>
      </c>
      <c r="C11" s="613"/>
      <c r="D11" s="613"/>
      <c r="E11" s="613"/>
      <c r="F11" s="613"/>
      <c r="G11" s="182" t="s">
        <v>6</v>
      </c>
    </row>
    <row r="12" spans="1:8" x14ac:dyDescent="0.2">
      <c r="A12" s="10"/>
      <c r="B12" s="614" t="s">
        <v>201</v>
      </c>
      <c r="C12" s="614"/>
      <c r="D12" s="614"/>
      <c r="E12" s="614"/>
      <c r="F12" s="614"/>
      <c r="G12" s="183">
        <f>SUM(G14)</f>
        <v>26096600</v>
      </c>
    </row>
    <row r="13" spans="1:8" x14ac:dyDescent="0.2">
      <c r="A13" s="10"/>
      <c r="B13" s="606" t="s">
        <v>27</v>
      </c>
      <c r="C13" s="607"/>
      <c r="D13" s="607"/>
      <c r="E13" s="607"/>
      <c r="F13" s="608"/>
      <c r="G13" s="9"/>
    </row>
    <row r="14" spans="1:8" ht="29.65" customHeight="1" x14ac:dyDescent="0.2">
      <c r="A14" s="13" t="s">
        <v>99</v>
      </c>
      <c r="B14" s="600" t="s">
        <v>202</v>
      </c>
      <c r="C14" s="601"/>
      <c r="D14" s="601"/>
      <c r="E14" s="601"/>
      <c r="F14" s="602"/>
      <c r="G14" s="9">
        <f>'[1]Доходы №1'!E17*1000</f>
        <v>26096600</v>
      </c>
    </row>
    <row r="15" spans="1:8" x14ac:dyDescent="0.2">
      <c r="A15" s="10"/>
      <c r="B15" s="606"/>
      <c r="C15" s="607"/>
      <c r="D15" s="607"/>
      <c r="E15" s="607"/>
      <c r="F15" s="608"/>
      <c r="G15" s="9"/>
    </row>
    <row r="16" spans="1:8" x14ac:dyDescent="0.2">
      <c r="A16" s="10"/>
      <c r="B16" s="606"/>
      <c r="C16" s="607"/>
      <c r="D16" s="607"/>
      <c r="E16" s="607"/>
      <c r="F16" s="608"/>
      <c r="G16" s="9"/>
    </row>
    <row r="17" spans="1:9" x14ac:dyDescent="0.2">
      <c r="A17" s="10"/>
      <c r="B17" s="606"/>
      <c r="C17" s="607"/>
      <c r="D17" s="607"/>
      <c r="E17" s="607"/>
      <c r="F17" s="608"/>
      <c r="G17" s="9"/>
    </row>
    <row r="18" spans="1:9" x14ac:dyDescent="0.2">
      <c r="A18" s="10"/>
      <c r="B18" s="609" t="s">
        <v>203</v>
      </c>
      <c r="C18" s="610"/>
      <c r="D18" s="610"/>
      <c r="E18" s="610"/>
      <c r="F18" s="611"/>
      <c r="G18" s="94">
        <f>SUM(G20:G22)</f>
        <v>26096600</v>
      </c>
    </row>
    <row r="19" spans="1:9" x14ac:dyDescent="0.2">
      <c r="A19" s="10"/>
      <c r="B19" s="606" t="s">
        <v>27</v>
      </c>
      <c r="C19" s="607"/>
      <c r="D19" s="607"/>
      <c r="E19" s="607"/>
      <c r="F19" s="608"/>
      <c r="G19" s="9"/>
    </row>
    <row r="20" spans="1:9" ht="15" customHeight="1" x14ac:dyDescent="0.2">
      <c r="A20" s="13" t="s">
        <v>99</v>
      </c>
      <c r="B20" s="603" t="s">
        <v>204</v>
      </c>
      <c r="C20" s="604"/>
      <c r="D20" s="604"/>
      <c r="E20" s="604"/>
      <c r="F20" s="605"/>
      <c r="G20" s="94">
        <f>G14*2%</f>
        <v>521932</v>
      </c>
    </row>
    <row r="21" spans="1:9" ht="31.15" customHeight="1" x14ac:dyDescent="0.2">
      <c r="A21" s="13" t="s">
        <v>100</v>
      </c>
      <c r="B21" s="600" t="s">
        <v>205</v>
      </c>
      <c r="C21" s="601"/>
      <c r="D21" s="601"/>
      <c r="E21" s="601"/>
      <c r="F21" s="602"/>
      <c r="G21" s="94">
        <f>'[1]Автоакц расш №2 к прил 5'!E47</f>
        <v>0</v>
      </c>
      <c r="I21" s="95" t="s">
        <v>0</v>
      </c>
    </row>
    <row r="22" spans="1:9" ht="30.6" customHeight="1" x14ac:dyDescent="0.2">
      <c r="A22" s="13" t="s">
        <v>206</v>
      </c>
      <c r="B22" s="600" t="s">
        <v>207</v>
      </c>
      <c r="C22" s="601"/>
      <c r="D22" s="601"/>
      <c r="E22" s="601"/>
      <c r="F22" s="602"/>
      <c r="G22" s="94">
        <v>25574668</v>
      </c>
    </row>
  </sheetData>
  <mergeCells count="20">
    <mergeCell ref="E1:G1"/>
    <mergeCell ref="E2:G2"/>
    <mergeCell ref="E3:G3"/>
    <mergeCell ref="E4:G4"/>
    <mergeCell ref="E5:G5"/>
    <mergeCell ref="A9:H9"/>
    <mergeCell ref="B11:F11"/>
    <mergeCell ref="B12:F12"/>
    <mergeCell ref="B13:F13"/>
    <mergeCell ref="A7:H7"/>
    <mergeCell ref="A8:H8"/>
    <mergeCell ref="B14:F14"/>
    <mergeCell ref="B20:F20"/>
    <mergeCell ref="B21:F21"/>
    <mergeCell ref="B22:F22"/>
    <mergeCell ref="B15:F15"/>
    <mergeCell ref="B16:F16"/>
    <mergeCell ref="B17:F17"/>
    <mergeCell ref="B18:F18"/>
    <mergeCell ref="B19:F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0"/>
  <sheetViews>
    <sheetView zoomScaleNormal="100" workbookViewId="0">
      <selection activeCell="C4" sqref="C4:E4"/>
    </sheetView>
  </sheetViews>
  <sheetFormatPr defaultRowHeight="15" x14ac:dyDescent="0.25"/>
  <cols>
    <col min="1" max="1" width="5.140625" customWidth="1"/>
    <col min="2" max="2" width="51.42578125" customWidth="1"/>
    <col min="3" max="3" width="10.42578125" customWidth="1"/>
    <col min="4" max="4" width="8.85546875" customWidth="1"/>
    <col min="5" max="5" width="12.5703125" customWidth="1"/>
  </cols>
  <sheetData>
    <row r="1" spans="1:211" ht="15" customHeight="1" x14ac:dyDescent="0.25"/>
    <row r="2" spans="1:211" s="2" customFormat="1" ht="12.75" x14ac:dyDescent="0.2">
      <c r="A2" s="3"/>
      <c r="B2" s="455"/>
      <c r="C2" s="540" t="s">
        <v>613</v>
      </c>
      <c r="D2" s="540"/>
      <c r="E2" s="540"/>
    </row>
    <row r="3" spans="1:211" s="2" customFormat="1" ht="12.75" x14ac:dyDescent="0.2">
      <c r="A3" s="3"/>
      <c r="B3" s="422"/>
      <c r="C3" s="540" t="s">
        <v>603</v>
      </c>
      <c r="D3" s="540"/>
      <c r="E3" s="540"/>
    </row>
    <row r="4" spans="1:211" s="2" customFormat="1" ht="12.75" x14ac:dyDescent="0.2">
      <c r="A4" s="3"/>
      <c r="B4" s="422"/>
      <c r="C4" s="540" t="s">
        <v>626</v>
      </c>
      <c r="D4" s="540"/>
      <c r="E4" s="540"/>
    </row>
    <row r="5" spans="1:211" s="2" customFormat="1" ht="12.75" x14ac:dyDescent="0.2">
      <c r="A5" s="3"/>
      <c r="B5" s="541"/>
      <c r="C5" s="541"/>
      <c r="D5" s="541"/>
      <c r="E5" s="541"/>
    </row>
    <row r="6" spans="1:211" ht="31.5" customHeight="1" x14ac:dyDescent="0.25">
      <c r="A6" s="555" t="s">
        <v>317</v>
      </c>
      <c r="B6" s="555"/>
      <c r="C6" s="555"/>
      <c r="D6" s="555"/>
      <c r="E6" s="555"/>
    </row>
    <row r="7" spans="1:211" x14ac:dyDescent="0.25">
      <c r="A7" s="3"/>
      <c r="B7" s="3"/>
      <c r="C7" s="3"/>
      <c r="D7" s="456"/>
      <c r="E7" s="456"/>
    </row>
    <row r="8" spans="1:211" ht="12.75" customHeight="1" x14ac:dyDescent="0.25">
      <c r="A8" s="614"/>
      <c r="B8" s="614"/>
      <c r="C8" s="617" t="s">
        <v>98</v>
      </c>
      <c r="D8" s="618"/>
      <c r="E8" s="619"/>
    </row>
    <row r="9" spans="1:211" ht="91.9" customHeight="1" x14ac:dyDescent="0.25">
      <c r="A9" s="614"/>
      <c r="B9" s="614"/>
      <c r="C9" s="318" t="s">
        <v>180</v>
      </c>
      <c r="D9" s="318" t="s">
        <v>220</v>
      </c>
      <c r="E9" s="318" t="s">
        <v>255</v>
      </c>
    </row>
    <row r="10" spans="1:211" ht="13.7" customHeight="1" x14ac:dyDescent="0.25">
      <c r="A10" s="48">
        <v>1</v>
      </c>
      <c r="B10" s="48">
        <v>2</v>
      </c>
      <c r="C10" s="49">
        <v>4</v>
      </c>
      <c r="D10" s="49">
        <v>5</v>
      </c>
      <c r="E10" s="49">
        <v>6</v>
      </c>
    </row>
    <row r="11" spans="1:211" x14ac:dyDescent="0.25">
      <c r="A11" s="453" t="s">
        <v>99</v>
      </c>
      <c r="B11" s="443" t="s">
        <v>44</v>
      </c>
      <c r="C11" s="457">
        <f>[1]Сводсоцпол!H7</f>
        <v>2297796</v>
      </c>
      <c r="D11" s="458">
        <f>C11</f>
        <v>2297796</v>
      </c>
      <c r="E11" s="458">
        <f>D11</f>
        <v>2297796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</row>
    <row r="12" spans="1:211" ht="25.5" x14ac:dyDescent="0.25">
      <c r="A12" s="454" t="s">
        <v>100</v>
      </c>
      <c r="B12" s="165" t="s">
        <v>101</v>
      </c>
      <c r="C12" s="9">
        <f>[1]Сводсоцпол!AG8</f>
        <v>24000</v>
      </c>
      <c r="D12" s="458">
        <f>C12</f>
        <v>24000</v>
      </c>
      <c r="E12" s="458">
        <f>D12</f>
        <v>24000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</row>
    <row r="13" spans="1:211" ht="25.5" x14ac:dyDescent="0.25">
      <c r="A13" s="454"/>
      <c r="B13" s="165" t="s">
        <v>208</v>
      </c>
      <c r="C13" s="9">
        <f>[1]Сводсоцпол!H14</f>
        <v>0</v>
      </c>
      <c r="D13" s="458">
        <v>131970</v>
      </c>
      <c r="E13" s="458">
        <v>135929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</row>
    <row r="14" spans="1:211" x14ac:dyDescent="0.25">
      <c r="A14" s="454"/>
      <c r="B14" s="165" t="s">
        <v>209</v>
      </c>
      <c r="C14" s="9">
        <f>[1]Сводсоцпол!H16</f>
        <v>2317000</v>
      </c>
      <c r="D14" s="9">
        <v>2317000</v>
      </c>
      <c r="E14" s="9">
        <v>2410000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</row>
    <row r="15" spans="1:211" x14ac:dyDescent="0.25">
      <c r="A15" s="454"/>
      <c r="B15" s="165" t="s">
        <v>210</v>
      </c>
      <c r="C15" s="9">
        <f>[1]Сводсоцпол!H12+[1]Сводсоцпол!H13</f>
        <v>1350000</v>
      </c>
      <c r="D15" s="458">
        <v>4128894</v>
      </c>
      <c r="E15" s="458">
        <v>4128894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</row>
    <row r="16" spans="1:211" x14ac:dyDescent="0.25">
      <c r="A16" s="10"/>
      <c r="B16" s="13" t="s">
        <v>47</v>
      </c>
      <c r="C16" s="94">
        <f>SUM(C11:C15)</f>
        <v>5988796</v>
      </c>
      <c r="D16" s="94">
        <f>SUM(D11:D15)</f>
        <v>8899660</v>
      </c>
      <c r="E16" s="94">
        <f>SUM(E11:E15)</f>
        <v>8996619</v>
      </c>
    </row>
    <row r="17" spans="1:3" x14ac:dyDescent="0.25">
      <c r="A17" s="50"/>
      <c r="B17" s="51"/>
      <c r="C17" s="50"/>
    </row>
    <row r="18" spans="1:3" x14ac:dyDescent="0.25">
      <c r="A18" s="50"/>
      <c r="B18" s="51"/>
      <c r="C18" s="50"/>
    </row>
    <row r="19" spans="1:3" x14ac:dyDescent="0.25">
      <c r="A19" s="50"/>
      <c r="B19" s="51"/>
      <c r="C19" s="50"/>
    </row>
    <row r="20" spans="1:3" x14ac:dyDescent="0.25">
      <c r="A20" s="50"/>
      <c r="B20" s="51"/>
      <c r="C20" s="50"/>
    </row>
    <row r="21" spans="1:3" x14ac:dyDescent="0.25">
      <c r="A21" s="50"/>
      <c r="B21" s="51"/>
      <c r="C21" s="50"/>
    </row>
    <row r="22" spans="1:3" x14ac:dyDescent="0.25">
      <c r="A22" s="50"/>
      <c r="B22" s="52"/>
      <c r="C22" s="50"/>
    </row>
    <row r="23" spans="1:3" x14ac:dyDescent="0.25">
      <c r="A23" s="50"/>
      <c r="B23" s="51"/>
      <c r="C23" s="50"/>
    </row>
    <row r="24" spans="1:3" x14ac:dyDescent="0.25">
      <c r="A24" s="50"/>
      <c r="B24" s="51"/>
      <c r="C24" s="50"/>
    </row>
    <row r="25" spans="1:3" x14ac:dyDescent="0.25">
      <c r="A25" s="50"/>
      <c r="B25" s="51"/>
      <c r="C25" s="50"/>
    </row>
    <row r="26" spans="1:3" x14ac:dyDescent="0.25">
      <c r="A26" s="50"/>
      <c r="B26" s="51"/>
      <c r="C26" s="50"/>
    </row>
    <row r="27" spans="1:3" x14ac:dyDescent="0.25">
      <c r="A27" s="50"/>
      <c r="B27" s="51"/>
      <c r="C27" s="50"/>
    </row>
    <row r="28" spans="1:3" x14ac:dyDescent="0.25">
      <c r="A28" s="50"/>
      <c r="B28" s="51"/>
      <c r="C28" s="50"/>
    </row>
    <row r="29" spans="1:3" x14ac:dyDescent="0.25">
      <c r="A29" s="50"/>
      <c r="B29" s="51"/>
      <c r="C29" s="50"/>
    </row>
    <row r="30" spans="1:3" x14ac:dyDescent="0.25">
      <c r="A30" s="50"/>
      <c r="B30" s="51"/>
      <c r="C30" s="50"/>
    </row>
    <row r="31" spans="1:3" x14ac:dyDescent="0.25">
      <c r="A31" s="50"/>
      <c r="B31" s="51"/>
      <c r="C31" s="50"/>
    </row>
    <row r="32" spans="1:3" x14ac:dyDescent="0.25">
      <c r="A32" s="50"/>
      <c r="B32" s="51"/>
      <c r="C32" s="50"/>
    </row>
    <row r="33" spans="1:3" x14ac:dyDescent="0.25">
      <c r="A33" s="50"/>
      <c r="B33" s="51"/>
      <c r="C33" s="50"/>
    </row>
    <row r="34" spans="1:3" x14ac:dyDescent="0.25">
      <c r="A34" s="50"/>
      <c r="B34" s="51"/>
      <c r="C34" s="50"/>
    </row>
    <row r="35" spans="1:3" x14ac:dyDescent="0.25">
      <c r="A35" s="50"/>
      <c r="B35" s="51"/>
      <c r="C35" s="50"/>
    </row>
    <row r="36" spans="1:3" x14ac:dyDescent="0.25">
      <c r="A36" s="50"/>
      <c r="B36" s="51"/>
      <c r="C36" s="50"/>
    </row>
    <row r="37" spans="1:3" x14ac:dyDescent="0.25">
      <c r="A37" s="50"/>
      <c r="B37" s="51"/>
      <c r="C37" s="50"/>
    </row>
    <row r="38" spans="1:3" x14ac:dyDescent="0.25">
      <c r="A38" s="50"/>
      <c r="B38" s="51"/>
      <c r="C38" s="50"/>
    </row>
    <row r="39" spans="1:3" x14ac:dyDescent="0.25">
      <c r="A39" s="50"/>
      <c r="B39" s="51"/>
      <c r="C39" s="50"/>
    </row>
    <row r="40" spans="1:3" x14ac:dyDescent="0.25">
      <c r="A40" s="50"/>
      <c r="B40" s="51"/>
      <c r="C40" s="50"/>
    </row>
    <row r="41" spans="1:3" x14ac:dyDescent="0.25">
      <c r="A41" s="50"/>
      <c r="B41" s="51"/>
      <c r="C41" s="50"/>
    </row>
    <row r="42" spans="1:3" x14ac:dyDescent="0.25">
      <c r="A42" s="50"/>
      <c r="B42" s="51"/>
      <c r="C42" s="50"/>
    </row>
    <row r="43" spans="1:3" x14ac:dyDescent="0.25">
      <c r="A43" s="50"/>
      <c r="B43" s="51"/>
      <c r="C43" s="50"/>
    </row>
    <row r="44" spans="1:3" x14ac:dyDescent="0.25">
      <c r="A44" s="50"/>
      <c r="B44" s="51"/>
      <c r="C44" s="50"/>
    </row>
    <row r="45" spans="1:3" x14ac:dyDescent="0.25">
      <c r="A45" s="50"/>
      <c r="B45" s="51"/>
      <c r="C45" s="50"/>
    </row>
    <row r="46" spans="1:3" x14ac:dyDescent="0.25">
      <c r="A46" s="50"/>
      <c r="B46" s="51"/>
      <c r="C46" s="50"/>
    </row>
    <row r="47" spans="1:3" x14ac:dyDescent="0.25">
      <c r="A47" s="50"/>
      <c r="B47" s="51"/>
      <c r="C47" s="50"/>
    </row>
    <row r="48" spans="1:3" x14ac:dyDescent="0.25">
      <c r="A48" s="50"/>
      <c r="B48" s="51"/>
      <c r="C48" s="50"/>
    </row>
    <row r="49" spans="1:3" x14ac:dyDescent="0.25">
      <c r="A49" s="50"/>
      <c r="B49" s="51"/>
      <c r="C49" s="50"/>
    </row>
    <row r="50" spans="1:3" x14ac:dyDescent="0.25">
      <c r="A50" s="50"/>
      <c r="B50" s="51"/>
      <c r="C50" s="50"/>
    </row>
    <row r="51" spans="1:3" x14ac:dyDescent="0.25">
      <c r="A51" s="50"/>
      <c r="B51" s="51"/>
      <c r="C51" s="50"/>
    </row>
    <row r="52" spans="1:3" x14ac:dyDescent="0.25">
      <c r="A52" s="50"/>
      <c r="B52" s="50"/>
      <c r="C52" s="50"/>
    </row>
    <row r="53" spans="1:3" x14ac:dyDescent="0.25">
      <c r="A53" s="50"/>
      <c r="B53" s="50"/>
      <c r="C53" s="50"/>
    </row>
    <row r="54" spans="1:3" x14ac:dyDescent="0.25">
      <c r="A54" s="50"/>
      <c r="B54" s="50"/>
      <c r="C54" s="50"/>
    </row>
    <row r="55" spans="1:3" x14ac:dyDescent="0.25">
      <c r="A55" s="50"/>
      <c r="B55" s="50"/>
      <c r="C55" s="50"/>
    </row>
    <row r="56" spans="1:3" x14ac:dyDescent="0.25">
      <c r="A56" s="50"/>
      <c r="B56" s="50"/>
      <c r="C56" s="50"/>
    </row>
    <row r="57" spans="1:3" x14ac:dyDescent="0.25">
      <c r="A57" s="50"/>
      <c r="B57" s="50"/>
      <c r="C57" s="50"/>
    </row>
    <row r="58" spans="1:3" x14ac:dyDescent="0.25">
      <c r="A58" s="50"/>
      <c r="B58" s="50"/>
      <c r="C58" s="50"/>
    </row>
    <row r="59" spans="1:3" x14ac:dyDescent="0.25">
      <c r="A59" s="50"/>
      <c r="B59" s="50"/>
      <c r="C59" s="50"/>
    </row>
    <row r="60" spans="1:3" x14ac:dyDescent="0.25">
      <c r="A60" s="50"/>
      <c r="B60" s="50"/>
      <c r="C60" s="50"/>
    </row>
    <row r="61" spans="1:3" x14ac:dyDescent="0.25">
      <c r="A61" s="50"/>
      <c r="B61" s="50"/>
      <c r="C61" s="50"/>
    </row>
    <row r="62" spans="1:3" x14ac:dyDescent="0.25">
      <c r="A62" s="50"/>
      <c r="B62" s="50"/>
      <c r="C62" s="50"/>
    </row>
    <row r="63" spans="1:3" x14ac:dyDescent="0.25">
      <c r="A63" s="50"/>
      <c r="B63" s="50"/>
      <c r="C63" s="50"/>
    </row>
    <row r="64" spans="1:3" x14ac:dyDescent="0.25">
      <c r="A64" s="50"/>
      <c r="B64" s="50"/>
      <c r="C64" s="50"/>
    </row>
    <row r="65" spans="1:3" x14ac:dyDescent="0.25">
      <c r="A65" s="50"/>
      <c r="B65" s="50"/>
      <c r="C65" s="50"/>
    </row>
    <row r="66" spans="1:3" x14ac:dyDescent="0.25">
      <c r="A66" s="50"/>
      <c r="B66" s="50"/>
      <c r="C66" s="50"/>
    </row>
    <row r="67" spans="1:3" x14ac:dyDescent="0.25">
      <c r="A67" s="50"/>
      <c r="B67" s="50"/>
      <c r="C67" s="50"/>
    </row>
    <row r="68" spans="1:3" x14ac:dyDescent="0.25">
      <c r="A68" s="50"/>
      <c r="B68" s="50"/>
      <c r="C68" s="50"/>
    </row>
    <row r="69" spans="1:3" x14ac:dyDescent="0.25">
      <c r="A69" s="50"/>
      <c r="B69" s="50"/>
      <c r="C69" s="50"/>
    </row>
    <row r="70" spans="1:3" x14ac:dyDescent="0.25">
      <c r="A70" s="50"/>
      <c r="B70" s="50"/>
      <c r="C70" s="50"/>
    </row>
    <row r="71" spans="1:3" x14ac:dyDescent="0.25">
      <c r="A71" s="50"/>
      <c r="B71" s="50"/>
      <c r="C71" s="50"/>
    </row>
    <row r="72" spans="1:3" x14ac:dyDescent="0.25">
      <c r="A72" s="50"/>
      <c r="B72" s="50"/>
      <c r="C72" s="50"/>
    </row>
    <row r="73" spans="1:3" x14ac:dyDescent="0.25">
      <c r="A73" s="50"/>
      <c r="B73" s="50"/>
      <c r="C73" s="50"/>
    </row>
    <row r="74" spans="1:3" x14ac:dyDescent="0.25">
      <c r="A74" s="50"/>
      <c r="B74" s="50"/>
      <c r="C74" s="50"/>
    </row>
    <row r="75" spans="1:3" x14ac:dyDescent="0.25">
      <c r="A75" s="50"/>
      <c r="B75" s="50"/>
      <c r="C75" s="50"/>
    </row>
    <row r="76" spans="1:3" x14ac:dyDescent="0.25">
      <c r="A76" s="50"/>
      <c r="B76" s="50"/>
      <c r="C76" s="50"/>
    </row>
    <row r="77" spans="1:3" x14ac:dyDescent="0.25">
      <c r="A77" s="50"/>
      <c r="B77" s="50"/>
      <c r="C77" s="50"/>
    </row>
    <row r="78" spans="1:3" x14ac:dyDescent="0.25">
      <c r="A78" s="50"/>
      <c r="B78" s="50"/>
      <c r="C78" s="50"/>
    </row>
    <row r="79" spans="1:3" x14ac:dyDescent="0.25">
      <c r="A79" s="50"/>
      <c r="B79" s="50"/>
      <c r="C79" s="50"/>
    </row>
    <row r="80" spans="1:3" x14ac:dyDescent="0.25">
      <c r="A80" s="50"/>
      <c r="B80" s="50"/>
      <c r="C80" s="50"/>
    </row>
    <row r="81" spans="1:3" x14ac:dyDescent="0.25">
      <c r="A81" s="50"/>
      <c r="B81" s="50"/>
      <c r="C81" s="50"/>
    </row>
    <row r="82" spans="1:3" x14ac:dyDescent="0.25">
      <c r="A82" s="50"/>
      <c r="B82" s="50"/>
      <c r="C82" s="50"/>
    </row>
    <row r="83" spans="1:3" x14ac:dyDescent="0.25">
      <c r="A83" s="50"/>
      <c r="B83" s="50"/>
      <c r="C83" s="50"/>
    </row>
    <row r="84" spans="1:3" x14ac:dyDescent="0.25">
      <c r="A84" s="50"/>
      <c r="B84" s="50"/>
      <c r="C84" s="50"/>
    </row>
    <row r="85" spans="1:3" x14ac:dyDescent="0.25">
      <c r="A85" s="50"/>
      <c r="B85" s="50"/>
      <c r="C85" s="50"/>
    </row>
    <row r="86" spans="1:3" x14ac:dyDescent="0.25">
      <c r="A86" s="50"/>
      <c r="B86" s="50"/>
      <c r="C86" s="50"/>
    </row>
    <row r="87" spans="1:3" x14ac:dyDescent="0.25">
      <c r="A87" s="50"/>
      <c r="B87" s="50"/>
      <c r="C87" s="50"/>
    </row>
    <row r="88" spans="1:3" x14ac:dyDescent="0.25">
      <c r="A88" s="50"/>
      <c r="B88" s="50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  <row r="102" spans="1:3" x14ac:dyDescent="0.25">
      <c r="A102" s="50"/>
      <c r="B102" s="50"/>
      <c r="C102" s="50"/>
    </row>
    <row r="103" spans="1:3" x14ac:dyDescent="0.25">
      <c r="A103" s="50"/>
      <c r="B103" s="50"/>
      <c r="C103" s="50"/>
    </row>
    <row r="104" spans="1:3" x14ac:dyDescent="0.25">
      <c r="A104" s="50"/>
      <c r="B104" s="50"/>
      <c r="C104" s="50"/>
    </row>
    <row r="105" spans="1:3" x14ac:dyDescent="0.25">
      <c r="A105" s="50"/>
      <c r="B105" s="50"/>
      <c r="C105" s="50"/>
    </row>
    <row r="106" spans="1:3" x14ac:dyDescent="0.25">
      <c r="A106" s="50"/>
      <c r="B106" s="50"/>
      <c r="C106" s="50"/>
    </row>
    <row r="107" spans="1:3" x14ac:dyDescent="0.25">
      <c r="A107" s="50"/>
      <c r="B107" s="50"/>
      <c r="C107" s="50"/>
    </row>
    <row r="108" spans="1:3" x14ac:dyDescent="0.25">
      <c r="A108" s="50"/>
      <c r="B108" s="50"/>
      <c r="C108" s="50"/>
    </row>
    <row r="109" spans="1:3" x14ac:dyDescent="0.25">
      <c r="A109" s="50"/>
      <c r="B109" s="50"/>
      <c r="C109" s="50"/>
    </row>
    <row r="110" spans="1:3" x14ac:dyDescent="0.25">
      <c r="A110" s="50"/>
      <c r="B110" s="50"/>
      <c r="C110" s="50"/>
    </row>
  </sheetData>
  <mergeCells count="8">
    <mergeCell ref="C8:E8"/>
    <mergeCell ref="C2:E2"/>
    <mergeCell ref="B5:E5"/>
    <mergeCell ref="A6:E6"/>
    <mergeCell ref="A8:A9"/>
    <mergeCell ref="B8:B9"/>
    <mergeCell ref="C3:E3"/>
    <mergeCell ref="C4:E4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63"/>
  <sheetViews>
    <sheetView zoomScaleNormal="100" workbookViewId="0">
      <selection activeCell="C4" sqref="C4:E4"/>
    </sheetView>
  </sheetViews>
  <sheetFormatPr defaultRowHeight="15" x14ac:dyDescent="0.25"/>
  <cols>
    <col min="1" max="1" width="4.85546875" style="106" customWidth="1"/>
    <col min="2" max="2" width="78.140625" style="106" customWidth="1"/>
    <col min="3" max="3" width="15.140625" style="160" customWidth="1"/>
    <col min="4" max="4" width="13.7109375" style="106" customWidth="1"/>
    <col min="5" max="5" width="12.85546875" style="106" customWidth="1"/>
  </cols>
  <sheetData>
    <row r="1" spans="1:208" s="166" customFormat="1" x14ac:dyDescent="0.25"/>
    <row r="2" spans="1:208" s="161" customFormat="1" ht="15" customHeight="1" x14ac:dyDescent="0.25">
      <c r="C2" s="480" t="s">
        <v>578</v>
      </c>
      <c r="D2" s="480"/>
      <c r="E2" s="480"/>
      <c r="F2" s="348"/>
      <c r="G2" s="348"/>
    </row>
    <row r="3" spans="1:208" s="161" customFormat="1" ht="15.75" x14ac:dyDescent="0.25">
      <c r="C3" s="480" t="s">
        <v>571</v>
      </c>
      <c r="D3" s="480"/>
      <c r="E3" s="480"/>
      <c r="F3" s="348"/>
      <c r="G3" s="348"/>
    </row>
    <row r="4" spans="1:208" s="161" customFormat="1" ht="15.75" x14ac:dyDescent="0.25">
      <c r="C4" s="480" t="s">
        <v>623</v>
      </c>
      <c r="D4" s="480"/>
      <c r="E4" s="480"/>
      <c r="F4" s="348"/>
      <c r="G4" s="348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1:208" ht="15.75" customHeight="1" x14ac:dyDescent="0.25">
      <c r="A5" s="107"/>
      <c r="B5" s="494"/>
      <c r="C5" s="494"/>
      <c r="D5" s="494"/>
      <c r="E5" s="494"/>
    </row>
    <row r="6" spans="1:208" ht="15" customHeight="1" x14ac:dyDescent="0.25">
      <c r="A6" s="107"/>
      <c r="B6" s="495" t="s">
        <v>579</v>
      </c>
      <c r="C6" s="496"/>
      <c r="D6" s="496"/>
      <c r="E6" s="496"/>
    </row>
    <row r="7" spans="1:208" ht="15" customHeight="1" x14ac:dyDescent="0.25">
      <c r="A7" s="107"/>
      <c r="B7" s="108"/>
      <c r="C7" s="108"/>
      <c r="D7" s="107"/>
      <c r="E7" s="107"/>
    </row>
    <row r="8" spans="1:208" ht="18" customHeight="1" thickBot="1" x14ac:dyDescent="0.3">
      <c r="A8" s="107"/>
      <c r="B8" s="107"/>
      <c r="C8" s="109"/>
      <c r="D8" s="107"/>
      <c r="E8" s="352" t="s">
        <v>137</v>
      </c>
    </row>
    <row r="9" spans="1:208" ht="15.75" x14ac:dyDescent="0.25">
      <c r="A9" s="110"/>
      <c r="B9" s="488" t="s">
        <v>138</v>
      </c>
      <c r="C9" s="490" t="s">
        <v>264</v>
      </c>
      <c r="D9" s="490" t="s">
        <v>265</v>
      </c>
      <c r="E9" s="492" t="s">
        <v>580</v>
      </c>
    </row>
    <row r="10" spans="1:208" ht="84" customHeight="1" x14ac:dyDescent="0.25">
      <c r="A10" s="110"/>
      <c r="B10" s="489"/>
      <c r="C10" s="491"/>
      <c r="D10" s="491"/>
      <c r="E10" s="49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</row>
    <row r="11" spans="1:208" ht="21.6" customHeight="1" x14ac:dyDescent="0.25">
      <c r="A11" s="111"/>
      <c r="B11" s="112" t="s">
        <v>139</v>
      </c>
      <c r="C11" s="113">
        <f>SUM(C14,C17,C18,C19,C20,C21,C25,C27,C30,C31)+C13</f>
        <v>137616</v>
      </c>
      <c r="D11" s="113">
        <f>SUM(D14,D17,D18,D19,D20,D21,D25,D27,D30,D31)+D13</f>
        <v>123713</v>
      </c>
      <c r="E11" s="113">
        <f>SUM(E14,E17,E18,E19,E20,E21,E25,E27,E30,E31)+E13</f>
        <v>139734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</row>
    <row r="12" spans="1:208" ht="22.5" customHeight="1" x14ac:dyDescent="0.25">
      <c r="A12" s="114"/>
      <c r="B12" s="115" t="s">
        <v>140</v>
      </c>
      <c r="C12" s="116">
        <f>C13</f>
        <v>94550</v>
      </c>
      <c r="D12" s="116">
        <f>D13</f>
        <v>80810</v>
      </c>
      <c r="E12" s="116">
        <f>E13</f>
        <v>94550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</row>
    <row r="13" spans="1:208" ht="15.75" x14ac:dyDescent="0.25">
      <c r="A13" s="117"/>
      <c r="B13" s="118" t="s">
        <v>141</v>
      </c>
      <c r="C13" s="119">
        <v>94550</v>
      </c>
      <c r="D13" s="119">
        <v>80810</v>
      </c>
      <c r="E13" s="120">
        <v>94550</v>
      </c>
      <c r="F13" s="7"/>
      <c r="G13" s="12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</row>
    <row r="14" spans="1:208" ht="15.75" x14ac:dyDescent="0.25">
      <c r="A14" s="114"/>
      <c r="B14" s="115" t="s">
        <v>142</v>
      </c>
      <c r="C14" s="116">
        <f>C15+C16</f>
        <v>120</v>
      </c>
      <c r="D14" s="116">
        <f>D15+D16</f>
        <v>136</v>
      </c>
      <c r="E14" s="122">
        <f>E15+E16</f>
        <v>140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</row>
    <row r="15" spans="1:208" ht="15.75" x14ac:dyDescent="0.25">
      <c r="A15" s="117"/>
      <c r="B15" s="123" t="s">
        <v>143</v>
      </c>
      <c r="C15" s="124">
        <v>0</v>
      </c>
      <c r="D15" s="124">
        <v>0</v>
      </c>
      <c r="E15" s="125">
        <v>0</v>
      </c>
      <c r="F15" s="7"/>
      <c r="G15" s="1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</row>
    <row r="16" spans="1:208" ht="15.75" x14ac:dyDescent="0.25">
      <c r="A16" s="117"/>
      <c r="B16" s="123" t="s">
        <v>144</v>
      </c>
      <c r="C16" s="124">
        <v>120</v>
      </c>
      <c r="D16" s="124">
        <v>136</v>
      </c>
      <c r="E16" s="125">
        <v>140</v>
      </c>
      <c r="F16" s="7"/>
      <c r="G16" s="1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</row>
    <row r="17" spans="1:208" ht="15.75" x14ac:dyDescent="0.25">
      <c r="A17" s="117"/>
      <c r="B17" s="115" t="s">
        <v>145</v>
      </c>
      <c r="C17" s="116">
        <v>25257</v>
      </c>
      <c r="D17" s="116">
        <v>23457</v>
      </c>
      <c r="E17" s="122">
        <v>25257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</row>
    <row r="18" spans="1:208" ht="15.75" x14ac:dyDescent="0.25">
      <c r="A18" s="117"/>
      <c r="B18" s="115" t="s">
        <v>17</v>
      </c>
      <c r="C18" s="116">
        <v>13162</v>
      </c>
      <c r="D18" s="116">
        <v>14252</v>
      </c>
      <c r="E18" s="122">
        <v>14255</v>
      </c>
      <c r="F18" s="7"/>
      <c r="G18" s="1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</row>
    <row r="19" spans="1:208" ht="15.75" x14ac:dyDescent="0.25">
      <c r="A19" s="117"/>
      <c r="B19" s="115" t="s">
        <v>146</v>
      </c>
      <c r="C19" s="116">
        <v>1050</v>
      </c>
      <c r="D19" s="116">
        <v>1969</v>
      </c>
      <c r="E19" s="122">
        <v>1970</v>
      </c>
      <c r="F19" s="7"/>
      <c r="G19" s="1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</row>
    <row r="20" spans="1:208" ht="31.5" x14ac:dyDescent="0.25">
      <c r="A20" s="126"/>
      <c r="B20" s="127" t="s">
        <v>147</v>
      </c>
      <c r="C20" s="128"/>
      <c r="D20" s="128"/>
      <c r="E20" s="12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</row>
    <row r="21" spans="1:208" ht="31.5" x14ac:dyDescent="0.25">
      <c r="A21" s="114"/>
      <c r="B21" s="130" t="s">
        <v>148</v>
      </c>
      <c r="C21" s="131">
        <f>C22</f>
        <v>100</v>
      </c>
      <c r="D21" s="131">
        <f>D22</f>
        <v>46</v>
      </c>
      <c r="E21" s="131">
        <f>E22</f>
        <v>46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</row>
    <row r="22" spans="1:208" ht="15.75" x14ac:dyDescent="0.25">
      <c r="A22" s="114"/>
      <c r="B22" s="118" t="s">
        <v>149</v>
      </c>
      <c r="C22" s="119">
        <v>100</v>
      </c>
      <c r="D22" s="119">
        <v>46</v>
      </c>
      <c r="E22" s="120">
        <v>46</v>
      </c>
      <c r="F22" s="132"/>
      <c r="G22" s="1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</row>
    <row r="23" spans="1:208" ht="15.75" x14ac:dyDescent="0.25">
      <c r="A23" s="114"/>
      <c r="B23" s="115" t="s">
        <v>150</v>
      </c>
      <c r="C23" s="116"/>
      <c r="D23" s="116"/>
      <c r="E23" s="122"/>
    </row>
    <row r="24" spans="1:208" ht="15.75" x14ac:dyDescent="0.25">
      <c r="A24" s="117"/>
      <c r="B24" s="130" t="s">
        <v>151</v>
      </c>
      <c r="C24" s="131">
        <v>0</v>
      </c>
      <c r="D24" s="131">
        <v>0</v>
      </c>
      <c r="E24" s="133">
        <v>0</v>
      </c>
    </row>
    <row r="25" spans="1:208" ht="31.5" x14ac:dyDescent="0.25">
      <c r="A25" s="114"/>
      <c r="B25" s="134" t="s">
        <v>152</v>
      </c>
      <c r="C25" s="116">
        <f>C26</f>
        <v>3027</v>
      </c>
      <c r="D25" s="116">
        <f>D26</f>
        <v>3027</v>
      </c>
      <c r="E25" s="116">
        <f>E26</f>
        <v>3500</v>
      </c>
    </row>
    <row r="26" spans="1:208" ht="47.25" x14ac:dyDescent="0.25">
      <c r="A26" s="117"/>
      <c r="B26" s="135" t="s">
        <v>153</v>
      </c>
      <c r="C26" s="131">
        <v>3027</v>
      </c>
      <c r="D26" s="131">
        <v>3027</v>
      </c>
      <c r="E26" s="133">
        <v>3500</v>
      </c>
      <c r="F26" s="136"/>
      <c r="G26" s="137"/>
    </row>
    <row r="27" spans="1:208" ht="31.5" x14ac:dyDescent="0.25">
      <c r="A27" s="114"/>
      <c r="B27" s="115" t="s">
        <v>154</v>
      </c>
      <c r="C27" s="116">
        <f>C28+C29</f>
        <v>350</v>
      </c>
      <c r="D27" s="116">
        <f>D28+D29</f>
        <v>16</v>
      </c>
      <c r="E27" s="122">
        <f>E28+E29</f>
        <v>16</v>
      </c>
    </row>
    <row r="28" spans="1:208" ht="78.75" x14ac:dyDescent="0.25">
      <c r="A28" s="138"/>
      <c r="B28" s="130" t="s">
        <v>155</v>
      </c>
      <c r="C28" s="131">
        <v>350</v>
      </c>
      <c r="D28" s="131">
        <v>16</v>
      </c>
      <c r="E28" s="133">
        <v>16</v>
      </c>
    </row>
    <row r="29" spans="1:208" ht="47.25" x14ac:dyDescent="0.25">
      <c r="A29" s="138"/>
      <c r="B29" s="139" t="s">
        <v>156</v>
      </c>
      <c r="C29" s="140">
        <v>0</v>
      </c>
      <c r="D29" s="140">
        <v>0</v>
      </c>
      <c r="E29" s="141">
        <v>0</v>
      </c>
    </row>
    <row r="30" spans="1:208" ht="15.75" x14ac:dyDescent="0.25">
      <c r="A30" s="126"/>
      <c r="B30" s="142" t="s">
        <v>157</v>
      </c>
      <c r="C30" s="143">
        <v>0</v>
      </c>
      <c r="D30" s="143"/>
      <c r="E30" s="144"/>
      <c r="G30" s="145"/>
    </row>
    <row r="31" spans="1:208" ht="15.75" x14ac:dyDescent="0.25">
      <c r="A31" s="126"/>
      <c r="B31" s="146" t="s">
        <v>158</v>
      </c>
      <c r="C31" s="147">
        <v>0</v>
      </c>
      <c r="D31" s="147"/>
      <c r="E31" s="148"/>
    </row>
    <row r="32" spans="1:208" ht="15.75" x14ac:dyDescent="0.25">
      <c r="A32" s="149"/>
      <c r="B32" s="150" t="s">
        <v>159</v>
      </c>
      <c r="C32" s="151">
        <f>SUM(C33)</f>
        <v>1024542</v>
      </c>
      <c r="D32" s="151">
        <f>SUM(D33)</f>
        <v>934028</v>
      </c>
      <c r="E32" s="151">
        <f>SUM(E33)</f>
        <v>1024542</v>
      </c>
    </row>
    <row r="33" spans="1:7" ht="47.25" x14ac:dyDescent="0.25">
      <c r="A33" s="126"/>
      <c r="B33" s="152" t="s">
        <v>160</v>
      </c>
      <c r="C33" s="147">
        <f>C34+C35+C36</f>
        <v>1024542</v>
      </c>
      <c r="D33" s="147">
        <f>D34+D35+D36</f>
        <v>934028</v>
      </c>
      <c r="E33" s="147">
        <f>E34+E35+E36</f>
        <v>1024542</v>
      </c>
    </row>
    <row r="34" spans="1:7" ht="31.5" x14ac:dyDescent="0.25">
      <c r="A34" s="153"/>
      <c r="B34" s="154" t="s">
        <v>161</v>
      </c>
      <c r="C34" s="151">
        <v>229663</v>
      </c>
      <c r="D34" s="151">
        <v>210524</v>
      </c>
      <c r="E34" s="155">
        <v>229663</v>
      </c>
      <c r="G34" s="137"/>
    </row>
    <row r="35" spans="1:7" ht="31.5" x14ac:dyDescent="0.25">
      <c r="A35" s="117"/>
      <c r="B35" s="130" t="s">
        <v>162</v>
      </c>
      <c r="C35" s="131">
        <v>64175</v>
      </c>
      <c r="D35" s="131">
        <v>48239</v>
      </c>
      <c r="E35" s="155">
        <v>64175</v>
      </c>
    </row>
    <row r="36" spans="1:7" ht="31.5" x14ac:dyDescent="0.25">
      <c r="A36" s="117"/>
      <c r="B36" s="115" t="s">
        <v>163</v>
      </c>
      <c r="C36" s="116">
        <v>730704</v>
      </c>
      <c r="D36" s="116">
        <v>675265</v>
      </c>
      <c r="E36" s="155">
        <v>730704</v>
      </c>
      <c r="G36" s="137"/>
    </row>
    <row r="37" spans="1:7" ht="15.75" x14ac:dyDescent="0.25">
      <c r="A37" s="117"/>
      <c r="B37" s="115" t="s">
        <v>164</v>
      </c>
      <c r="C37" s="116"/>
      <c r="D37" s="116"/>
      <c r="E37" s="155"/>
      <c r="G37" s="137"/>
    </row>
    <row r="38" spans="1:7" ht="15.75" x14ac:dyDescent="0.25">
      <c r="A38" s="117"/>
      <c r="B38" s="115" t="s">
        <v>165</v>
      </c>
      <c r="C38" s="116"/>
      <c r="D38" s="116"/>
      <c r="E38" s="122"/>
    </row>
    <row r="39" spans="1:7" ht="15.75" x14ac:dyDescent="0.25">
      <c r="A39" s="117"/>
      <c r="B39" s="152" t="s">
        <v>166</v>
      </c>
      <c r="C39" s="147"/>
      <c r="D39" s="147"/>
      <c r="E39" s="148"/>
    </row>
    <row r="40" spans="1:7" ht="15.75" x14ac:dyDescent="0.25">
      <c r="A40" s="117"/>
      <c r="B40" s="152" t="s">
        <v>167</v>
      </c>
      <c r="C40" s="147"/>
      <c r="D40" s="147"/>
      <c r="E40" s="148"/>
    </row>
    <row r="41" spans="1:7" ht="15.75" x14ac:dyDescent="0.25">
      <c r="A41" s="117"/>
      <c r="B41" s="152" t="s">
        <v>168</v>
      </c>
      <c r="C41" s="147"/>
      <c r="D41" s="147"/>
      <c r="E41" s="148"/>
    </row>
    <row r="42" spans="1:7" ht="15.75" x14ac:dyDescent="0.25">
      <c r="A42" s="149"/>
      <c r="B42" s="156" t="s">
        <v>169</v>
      </c>
      <c r="C42" s="151">
        <f>C11+C32+C39+C40+C41</f>
        <v>1162158</v>
      </c>
      <c r="D42" s="151">
        <f>D11+D32+D39+D40+D41</f>
        <v>1057741</v>
      </c>
      <c r="E42" s="151">
        <f>E11+E32+E39+E40+E41</f>
        <v>1164276</v>
      </c>
    </row>
    <row r="43" spans="1:7" ht="15.75" x14ac:dyDescent="0.25">
      <c r="A43" s="107"/>
      <c r="B43" s="157" t="s">
        <v>170</v>
      </c>
      <c r="C43" s="131"/>
      <c r="D43" s="131"/>
      <c r="E43" s="133"/>
    </row>
    <row r="44" spans="1:7" ht="15.75" x14ac:dyDescent="0.25">
      <c r="A44" s="107"/>
      <c r="B44" s="115" t="s">
        <v>37</v>
      </c>
      <c r="C44" s="116">
        <v>50003</v>
      </c>
      <c r="D44" s="116">
        <v>40095</v>
      </c>
      <c r="E44" s="122">
        <v>50003</v>
      </c>
    </row>
    <row r="45" spans="1:7" ht="15.75" x14ac:dyDescent="0.25">
      <c r="A45" s="107"/>
      <c r="B45" s="115" t="s">
        <v>171</v>
      </c>
      <c r="C45" s="116">
        <v>3004</v>
      </c>
      <c r="D45" s="116">
        <v>3004</v>
      </c>
      <c r="E45" s="122">
        <v>3004</v>
      </c>
    </row>
    <row r="46" spans="1:7" ht="15.75" x14ac:dyDescent="0.25">
      <c r="A46" s="107"/>
      <c r="B46" s="115" t="s">
        <v>172</v>
      </c>
      <c r="C46" s="116">
        <v>5023</v>
      </c>
      <c r="D46" s="116">
        <v>3825</v>
      </c>
      <c r="E46" s="122">
        <v>5023</v>
      </c>
    </row>
    <row r="47" spans="1:7" ht="15.75" x14ac:dyDescent="0.25">
      <c r="A47" s="107"/>
      <c r="B47" s="115" t="s">
        <v>40</v>
      </c>
      <c r="C47" s="116">
        <v>45324</v>
      </c>
      <c r="D47" s="116">
        <v>29724</v>
      </c>
      <c r="E47" s="122">
        <v>45324</v>
      </c>
    </row>
    <row r="48" spans="1:7" ht="15.75" x14ac:dyDescent="0.25">
      <c r="A48" s="107"/>
      <c r="B48" s="115" t="s">
        <v>41</v>
      </c>
      <c r="C48" s="116">
        <v>49931</v>
      </c>
      <c r="D48" s="116">
        <v>40442</v>
      </c>
      <c r="E48" s="122">
        <v>49930</v>
      </c>
    </row>
    <row r="49" spans="1:5" ht="15.75" x14ac:dyDescent="0.25">
      <c r="A49" s="107"/>
      <c r="B49" s="115" t="s">
        <v>173</v>
      </c>
      <c r="C49" s="116">
        <v>877414</v>
      </c>
      <c r="D49" s="116">
        <v>740819</v>
      </c>
      <c r="E49" s="122">
        <v>877414</v>
      </c>
    </row>
    <row r="50" spans="1:5" ht="15.75" x14ac:dyDescent="0.25">
      <c r="A50" s="107"/>
      <c r="B50" s="130" t="s">
        <v>174</v>
      </c>
      <c r="C50" s="131">
        <v>32161</v>
      </c>
      <c r="D50" s="131">
        <v>23953</v>
      </c>
      <c r="E50" s="122">
        <v>32160</v>
      </c>
    </row>
    <row r="51" spans="1:5" ht="15.75" x14ac:dyDescent="0.25">
      <c r="A51" s="107"/>
      <c r="B51" s="115" t="s">
        <v>42</v>
      </c>
      <c r="C51" s="116">
        <v>12101</v>
      </c>
      <c r="D51" s="116">
        <v>8982</v>
      </c>
      <c r="E51" s="122">
        <v>12100</v>
      </c>
    </row>
    <row r="52" spans="1:5" ht="15.75" x14ac:dyDescent="0.25">
      <c r="A52" s="107"/>
      <c r="B52" s="115" t="s">
        <v>45</v>
      </c>
      <c r="C52" s="116">
        <v>10673</v>
      </c>
      <c r="D52" s="116">
        <v>9119</v>
      </c>
      <c r="E52" s="122">
        <v>10673</v>
      </c>
    </row>
    <row r="53" spans="1:5" ht="15.75" x14ac:dyDescent="0.25">
      <c r="A53" s="107"/>
      <c r="B53" s="115" t="s">
        <v>46</v>
      </c>
      <c r="C53" s="116">
        <v>6655</v>
      </c>
      <c r="D53" s="116">
        <v>5952</v>
      </c>
      <c r="E53" s="122">
        <v>6655</v>
      </c>
    </row>
    <row r="54" spans="1:5" ht="15.75" x14ac:dyDescent="0.25">
      <c r="A54" s="107"/>
      <c r="B54" s="115" t="s">
        <v>175</v>
      </c>
      <c r="C54" s="116">
        <v>15</v>
      </c>
      <c r="D54" s="116">
        <v>15</v>
      </c>
      <c r="E54" s="122">
        <v>15</v>
      </c>
    </row>
    <row r="55" spans="1:5" ht="15.75" x14ac:dyDescent="0.25">
      <c r="A55" s="107"/>
      <c r="B55" s="130" t="s">
        <v>176</v>
      </c>
      <c r="C55" s="131">
        <v>108928</v>
      </c>
      <c r="D55" s="131">
        <v>105086</v>
      </c>
      <c r="E55" s="122">
        <v>108928</v>
      </c>
    </row>
    <row r="56" spans="1:5" ht="15.75" x14ac:dyDescent="0.25">
      <c r="A56" s="107"/>
      <c r="B56" s="158" t="s">
        <v>177</v>
      </c>
      <c r="C56" s="116">
        <f>C44+C45+C46+C47+C48+C49+C50+C51+C52+C53+C54+C55</f>
        <v>1201232</v>
      </c>
      <c r="D56" s="116">
        <f>D44+D45+D46+D47+D48+D49+D50+D51+D52+D53+D54+D55</f>
        <v>1011016</v>
      </c>
      <c r="E56" s="116">
        <f>E44+E45+E46+E47+E48+E49+E50+E51+E52+E53+E54+E55</f>
        <v>1201229</v>
      </c>
    </row>
    <row r="57" spans="1:5" ht="15.75" x14ac:dyDescent="0.25">
      <c r="A57" s="107"/>
      <c r="B57" s="115" t="s">
        <v>178</v>
      </c>
      <c r="C57" s="116">
        <v>-14704</v>
      </c>
      <c r="D57" s="116">
        <v>69963</v>
      </c>
      <c r="E57" s="122">
        <v>-14704</v>
      </c>
    </row>
    <row r="58" spans="1:5" ht="15.75" x14ac:dyDescent="0.25">
      <c r="A58" s="107"/>
      <c r="B58" s="130" t="s">
        <v>108</v>
      </c>
      <c r="C58" s="131">
        <f>C42-C56</f>
        <v>-39074</v>
      </c>
      <c r="D58" s="131">
        <f>D42-D56</f>
        <v>46725</v>
      </c>
      <c r="E58" s="131">
        <f>E42-E56</f>
        <v>-36953</v>
      </c>
    </row>
    <row r="59" spans="1:5" ht="16.5" thickBot="1" x14ac:dyDescent="0.3">
      <c r="A59" s="107"/>
      <c r="B59" s="350" t="s">
        <v>179</v>
      </c>
      <c r="C59" s="351">
        <f>C43/C42</f>
        <v>0</v>
      </c>
      <c r="D59" s="351">
        <f>D43/D42</f>
        <v>0</v>
      </c>
      <c r="E59" s="351">
        <f>E43/E42</f>
        <v>0</v>
      </c>
    </row>
    <row r="60" spans="1:5" ht="15.75" x14ac:dyDescent="0.25">
      <c r="A60" s="107"/>
      <c r="B60" s="107"/>
      <c r="C60" s="159"/>
      <c r="D60" s="107"/>
      <c r="E60" s="107"/>
    </row>
    <row r="61" spans="1:5" ht="15.75" x14ac:dyDescent="0.25">
      <c r="A61" s="107"/>
      <c r="B61" s="107"/>
      <c r="C61" s="159"/>
      <c r="D61" s="107"/>
      <c r="E61" s="107"/>
    </row>
    <row r="62" spans="1:5" ht="15.75" x14ac:dyDescent="0.25">
      <c r="A62" s="107"/>
      <c r="B62" s="107"/>
      <c r="C62" s="159"/>
      <c r="D62" s="107"/>
      <c r="E62" s="107"/>
    </row>
    <row r="63" spans="1:5" ht="15.75" x14ac:dyDescent="0.25">
      <c r="A63" s="107"/>
      <c r="B63" s="107"/>
      <c r="C63" s="159"/>
      <c r="D63" s="107"/>
      <c r="E63" s="107"/>
    </row>
  </sheetData>
  <mergeCells count="9">
    <mergeCell ref="C2:E2"/>
    <mergeCell ref="C3:E3"/>
    <mergeCell ref="C4:E4"/>
    <mergeCell ref="B9:B10"/>
    <mergeCell ref="C9:C10"/>
    <mergeCell ref="D9:D10"/>
    <mergeCell ref="E9:E10"/>
    <mergeCell ref="B5:E5"/>
    <mergeCell ref="B6:E6"/>
  </mergeCells>
  <pageMargins left="0.7" right="0.7" top="0.75" bottom="0.75" header="0.3" footer="0.3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>
      <selection activeCell="C3" sqref="C3"/>
    </sheetView>
  </sheetViews>
  <sheetFormatPr defaultRowHeight="15" x14ac:dyDescent="0.25"/>
  <cols>
    <col min="1" max="1" width="5.140625" customWidth="1"/>
    <col min="2" max="2" width="40.85546875" customWidth="1"/>
    <col min="3" max="3" width="31.7109375" customWidth="1"/>
    <col min="4" max="4" width="18.5703125" customWidth="1"/>
  </cols>
  <sheetData>
    <row r="1" spans="1:4" s="3" customFormat="1" ht="12.75" x14ac:dyDescent="0.2">
      <c r="B1" s="2"/>
      <c r="C1" s="437" t="s">
        <v>614</v>
      </c>
      <c r="D1" s="184"/>
    </row>
    <row r="2" spans="1:4" s="3" customFormat="1" ht="12.75" x14ac:dyDescent="0.2">
      <c r="B2" s="66"/>
      <c r="C2" s="437" t="s">
        <v>603</v>
      </c>
      <c r="D2" s="184"/>
    </row>
    <row r="3" spans="1:4" s="3" customFormat="1" ht="12.75" x14ac:dyDescent="0.2">
      <c r="B3" s="66"/>
      <c r="C3" s="437" t="s">
        <v>626</v>
      </c>
      <c r="D3" s="184"/>
    </row>
    <row r="4" spans="1:4" s="3" customFormat="1" ht="12.75" x14ac:dyDescent="0.2">
      <c r="B4" s="563"/>
      <c r="C4" s="563"/>
      <c r="D4" s="184"/>
    </row>
    <row r="5" spans="1:4" s="3" customFormat="1" ht="12.75" x14ac:dyDescent="0.2">
      <c r="A5" s="3" t="s">
        <v>0</v>
      </c>
      <c r="B5" s="612" t="s">
        <v>318</v>
      </c>
      <c r="C5" s="612"/>
    </row>
    <row r="6" spans="1:4" s="3" customFormat="1" ht="12.75" x14ac:dyDescent="0.2">
      <c r="B6" s="612" t="s">
        <v>0</v>
      </c>
      <c r="C6" s="612"/>
    </row>
    <row r="7" spans="1:4" s="3" customFormat="1" ht="12.75" x14ac:dyDescent="0.2">
      <c r="C7" s="219"/>
    </row>
    <row r="8" spans="1:4" s="3" customFormat="1" ht="21" customHeight="1" x14ac:dyDescent="0.2">
      <c r="A8" s="620" t="s">
        <v>3</v>
      </c>
      <c r="B8" s="621" t="s">
        <v>107</v>
      </c>
      <c r="C8" s="556" t="s">
        <v>108</v>
      </c>
    </row>
    <row r="9" spans="1:4" s="3" customFormat="1" ht="12.75" customHeight="1" x14ac:dyDescent="0.2">
      <c r="A9" s="620"/>
      <c r="B9" s="621"/>
      <c r="C9" s="556"/>
    </row>
    <row r="10" spans="1:4" s="3" customFormat="1" ht="13.7" customHeight="1" x14ac:dyDescent="0.2">
      <c r="A10" s="620"/>
      <c r="B10" s="621"/>
      <c r="C10" s="556"/>
    </row>
    <row r="11" spans="1:4" s="3" customFormat="1" ht="9.75" customHeight="1" x14ac:dyDescent="0.2">
      <c r="A11" s="620"/>
      <c r="B11" s="621"/>
      <c r="C11" s="556"/>
    </row>
    <row r="12" spans="1:4" s="3" customFormat="1" ht="13.7" hidden="1" customHeight="1" x14ac:dyDescent="0.2">
      <c r="A12" s="620"/>
      <c r="B12" s="621"/>
      <c r="C12" s="556"/>
    </row>
    <row r="13" spans="1:4" s="3" customFormat="1" ht="15.75" customHeight="1" x14ac:dyDescent="0.2">
      <c r="A13" s="206">
        <v>1</v>
      </c>
      <c r="B13" s="205" t="str">
        <f>'[1]МБУ ЦБ'!B6</f>
        <v>На выполнение муниципального задания</v>
      </c>
      <c r="C13" s="185">
        <f>'[1]МБУ ЦБ'!V6</f>
        <v>2679380</v>
      </c>
      <c r="D13" s="14"/>
    </row>
    <row r="14" spans="1:4" s="3" customFormat="1" ht="15.75" customHeight="1" x14ac:dyDescent="0.2">
      <c r="A14" s="206">
        <v>2</v>
      </c>
      <c r="B14" s="205" t="s">
        <v>39</v>
      </c>
      <c r="C14" s="185">
        <f>'[1]МБУ ЦБ'!V7</f>
        <v>0</v>
      </c>
    </row>
    <row r="15" spans="1:4" s="3" customFormat="1" ht="11.25" customHeight="1" x14ac:dyDescent="0.2">
      <c r="A15" s="206"/>
      <c r="B15" s="169" t="s">
        <v>27</v>
      </c>
      <c r="C15" s="185"/>
    </row>
    <row r="16" spans="1:4" s="3" customFormat="1" ht="12.75" x14ac:dyDescent="0.2">
      <c r="A16" s="206" t="s">
        <v>0</v>
      </c>
      <c r="B16" s="103"/>
      <c r="C16" s="185">
        <f>'[1]МБУ ЦБ'!V9</f>
        <v>0</v>
      </c>
    </row>
    <row r="17" spans="1:3" s="3" customFormat="1" ht="12.75" x14ac:dyDescent="0.2">
      <c r="A17" s="206"/>
      <c r="B17" s="205"/>
      <c r="C17" s="185"/>
    </row>
    <row r="18" spans="1:3" s="3" customFormat="1" ht="12.75" x14ac:dyDescent="0.2">
      <c r="A18" s="206"/>
      <c r="B18" s="205"/>
      <c r="C18" s="185"/>
    </row>
    <row r="19" spans="1:3" s="3" customFormat="1" ht="12.75" x14ac:dyDescent="0.2">
      <c r="A19" s="614" t="s">
        <v>71</v>
      </c>
      <c r="B19" s="614"/>
      <c r="C19" s="186">
        <f>SUM(C13,C14)</f>
        <v>2679380</v>
      </c>
    </row>
    <row r="20" spans="1:3" s="82" customFormat="1" ht="12.75" x14ac:dyDescent="0.2">
      <c r="C20" s="3"/>
    </row>
    <row r="21" spans="1:3" s="3" customFormat="1" ht="12.75" x14ac:dyDescent="0.2"/>
    <row r="22" spans="1:3" s="3" customFormat="1" ht="12.75" x14ac:dyDescent="0.2"/>
    <row r="23" spans="1:3" s="3" customFormat="1" ht="12.75" x14ac:dyDescent="0.2"/>
    <row r="24" spans="1:3" s="3" customFormat="1" ht="12.75" x14ac:dyDescent="0.2"/>
    <row r="25" spans="1:3" s="3" customFormat="1" ht="12.75" x14ac:dyDescent="0.2"/>
    <row r="26" spans="1:3" s="3" customFormat="1" ht="12.75" x14ac:dyDescent="0.2"/>
    <row r="27" spans="1:3" s="3" customFormat="1" ht="12.75" x14ac:dyDescent="0.2"/>
    <row r="28" spans="1:3" s="3" customFormat="1" ht="12.75" x14ac:dyDescent="0.2"/>
    <row r="29" spans="1:3" s="3" customFormat="1" ht="12.75" x14ac:dyDescent="0.2"/>
    <row r="30" spans="1:3" s="3" customFormat="1" ht="12.75" x14ac:dyDescent="0.2"/>
  </sheetData>
  <mergeCells count="7">
    <mergeCell ref="A19:B19"/>
    <mergeCell ref="A8:A12"/>
    <mergeCell ref="B8:B12"/>
    <mergeCell ref="C8:C12"/>
    <mergeCell ref="B4:C4"/>
    <mergeCell ref="B5:C5"/>
    <mergeCell ref="B6:C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C3" sqref="C3"/>
    </sheetView>
  </sheetViews>
  <sheetFormatPr defaultColWidth="8.7109375" defaultRowHeight="15" x14ac:dyDescent="0.25"/>
  <cols>
    <col min="1" max="1" width="3.42578125" style="29" customWidth="1"/>
    <col min="2" max="2" width="43" style="29" customWidth="1"/>
    <col min="3" max="3" width="33.85546875" style="29" customWidth="1"/>
    <col min="4" max="4" width="18.5703125" style="29" customWidth="1"/>
    <col min="5" max="16384" width="8.7109375" style="29"/>
  </cols>
  <sheetData>
    <row r="1" spans="1:4" s="14" customFormat="1" ht="12.75" x14ac:dyDescent="0.2">
      <c r="B1" s="459"/>
      <c r="C1" s="221" t="s">
        <v>615</v>
      </c>
      <c r="D1" s="187"/>
    </row>
    <row r="2" spans="1:4" s="14" customFormat="1" ht="12.75" x14ac:dyDescent="0.2">
      <c r="B2" s="459"/>
      <c r="C2" s="221" t="s">
        <v>603</v>
      </c>
      <c r="D2" s="187"/>
    </row>
    <row r="3" spans="1:4" s="14" customFormat="1" ht="12.75" x14ac:dyDescent="0.2">
      <c r="B3" s="459"/>
      <c r="C3" s="221" t="s">
        <v>626</v>
      </c>
      <c r="D3" s="187"/>
    </row>
    <row r="4" spans="1:4" s="14" customFormat="1" ht="12.75" x14ac:dyDescent="0.2">
      <c r="B4" s="624"/>
      <c r="C4" s="624"/>
      <c r="D4" s="187"/>
    </row>
    <row r="5" spans="1:4" s="14" customFormat="1" ht="12.75" x14ac:dyDescent="0.2">
      <c r="A5" s="14" t="s">
        <v>0</v>
      </c>
      <c r="B5" s="573" t="s">
        <v>319</v>
      </c>
      <c r="C5" s="573"/>
    </row>
    <row r="6" spans="1:4" s="14" customFormat="1" ht="12.75" x14ac:dyDescent="0.2">
      <c r="B6" s="573" t="s">
        <v>0</v>
      </c>
      <c r="C6" s="573"/>
    </row>
    <row r="7" spans="1:4" s="14" customFormat="1" ht="21" customHeight="1" x14ac:dyDescent="0.2">
      <c r="A7" s="622" t="s">
        <v>3</v>
      </c>
      <c r="B7" s="623" t="s">
        <v>211</v>
      </c>
      <c r="C7" s="623" t="s">
        <v>108</v>
      </c>
    </row>
    <row r="8" spans="1:4" s="14" customFormat="1" ht="12.75" customHeight="1" x14ac:dyDescent="0.2">
      <c r="A8" s="622"/>
      <c r="B8" s="623"/>
      <c r="C8" s="623"/>
    </row>
    <row r="9" spans="1:4" s="14" customFormat="1" ht="13.7" customHeight="1" x14ac:dyDescent="0.2">
      <c r="A9" s="622"/>
      <c r="B9" s="623"/>
      <c r="C9" s="623"/>
    </row>
    <row r="10" spans="1:4" s="14" customFormat="1" ht="9.75" customHeight="1" x14ac:dyDescent="0.2">
      <c r="A10" s="622"/>
      <c r="B10" s="623"/>
      <c r="C10" s="623"/>
    </row>
    <row r="11" spans="1:4" s="14" customFormat="1" ht="13.7" hidden="1" customHeight="1" x14ac:dyDescent="0.2">
      <c r="A11" s="622"/>
      <c r="B11" s="623"/>
      <c r="C11" s="623"/>
    </row>
    <row r="12" spans="1:4" s="14" customFormat="1" ht="13.7" customHeight="1" x14ac:dyDescent="0.2">
      <c r="A12" s="222">
        <v>1</v>
      </c>
      <c r="B12" s="105" t="s">
        <v>212</v>
      </c>
      <c r="C12" s="223"/>
    </row>
    <row r="13" spans="1:4" s="14" customFormat="1" ht="15.75" customHeight="1" x14ac:dyDescent="0.2">
      <c r="A13" s="223"/>
      <c r="B13" s="97" t="s">
        <v>109</v>
      </c>
      <c r="C13" s="188">
        <f>'[1]Внешколь учр МБУ'!AN7</f>
        <v>8313884</v>
      </c>
    </row>
    <row r="14" spans="1:4" s="14" customFormat="1" ht="15.75" customHeight="1" x14ac:dyDescent="0.2">
      <c r="A14" s="223"/>
      <c r="B14" s="97" t="s">
        <v>39</v>
      </c>
      <c r="C14" s="188">
        <f>'[1]Внешколь учр МБУ'!AN11</f>
        <v>100000</v>
      </c>
    </row>
    <row r="15" spans="1:4" s="14" customFormat="1" ht="15.75" customHeight="1" x14ac:dyDescent="0.2">
      <c r="A15" s="223"/>
      <c r="B15" s="103" t="s">
        <v>71</v>
      </c>
      <c r="C15" s="188">
        <f>SUM(C13,C14)</f>
        <v>8413884</v>
      </c>
    </row>
    <row r="16" spans="1:4" s="14" customFormat="1" ht="15.75" customHeight="1" x14ac:dyDescent="0.2">
      <c r="A16" s="223">
        <v>2</v>
      </c>
      <c r="B16" s="105" t="s">
        <v>214</v>
      </c>
      <c r="C16" s="188"/>
      <c r="D16" s="14" t="s">
        <v>0</v>
      </c>
    </row>
    <row r="17" spans="1:3" s="14" customFormat="1" ht="11.25" customHeight="1" x14ac:dyDescent="0.2">
      <c r="A17" s="223"/>
      <c r="B17" s="97" t="s">
        <v>109</v>
      </c>
      <c r="C17" s="188">
        <f>'[1]Внешколь учр МБУ'!AN16</f>
        <v>10402045</v>
      </c>
    </row>
    <row r="18" spans="1:3" s="14" customFormat="1" ht="12.75" x14ac:dyDescent="0.2">
      <c r="A18" s="223"/>
      <c r="B18" s="97" t="s">
        <v>39</v>
      </c>
      <c r="C18" s="188">
        <f>'[1]Внешколь учр МБУ'!AN20</f>
        <v>100000</v>
      </c>
    </row>
    <row r="19" spans="1:3" s="14" customFormat="1" ht="12.75" x14ac:dyDescent="0.2">
      <c r="A19" s="223"/>
      <c r="B19" s="103" t="s">
        <v>71</v>
      </c>
      <c r="C19" s="188">
        <f>SUM(C17,C18)</f>
        <v>10502045</v>
      </c>
    </row>
    <row r="20" spans="1:3" s="14" customFormat="1" ht="12.75" x14ac:dyDescent="0.2">
      <c r="A20" s="223">
        <v>3</v>
      </c>
      <c r="B20" s="105" t="s">
        <v>215</v>
      </c>
      <c r="C20" s="188"/>
    </row>
    <row r="21" spans="1:3" s="14" customFormat="1" ht="12.75" x14ac:dyDescent="0.2">
      <c r="A21" s="223"/>
      <c r="B21" s="97" t="s">
        <v>109</v>
      </c>
      <c r="C21" s="188">
        <f>'[1]Внешколь учр МБУ'!AN26</f>
        <v>22051027</v>
      </c>
    </row>
    <row r="22" spans="1:3" s="14" customFormat="1" ht="12.75" x14ac:dyDescent="0.2">
      <c r="A22" s="223"/>
      <c r="B22" s="97" t="s">
        <v>39</v>
      </c>
      <c r="C22" s="188">
        <f>'[1]Внешколь учр МБУ'!AN30</f>
        <v>500000</v>
      </c>
    </row>
    <row r="23" spans="1:3" s="14" customFormat="1" ht="12.75" x14ac:dyDescent="0.2">
      <c r="A23" s="223"/>
      <c r="B23" s="103" t="s">
        <v>71</v>
      </c>
      <c r="C23" s="188">
        <f>SUM(C21,C22)</f>
        <v>22551027</v>
      </c>
    </row>
    <row r="24" spans="1:3" s="14" customFormat="1" ht="12.75" x14ac:dyDescent="0.2">
      <c r="A24" s="223">
        <v>4</v>
      </c>
      <c r="B24" s="105" t="s">
        <v>216</v>
      </c>
      <c r="C24" s="188"/>
    </row>
    <row r="25" spans="1:3" s="14" customFormat="1" ht="12.75" x14ac:dyDescent="0.2">
      <c r="A25" s="223"/>
      <c r="B25" s="97" t="s">
        <v>109</v>
      </c>
      <c r="C25" s="188">
        <f>'[1]Внешколь учр МБУ'!AN35</f>
        <v>8060944</v>
      </c>
    </row>
    <row r="26" spans="1:3" s="14" customFormat="1" ht="12.75" x14ac:dyDescent="0.2">
      <c r="A26" s="223"/>
      <c r="B26" s="97" t="s">
        <v>39</v>
      </c>
      <c r="C26" s="188">
        <f>'[1]Внешколь учр МБУ'!AN39</f>
        <v>100000</v>
      </c>
    </row>
    <row r="27" spans="1:3" s="14" customFormat="1" ht="12.75" x14ac:dyDescent="0.2">
      <c r="A27" s="223"/>
      <c r="B27" s="103" t="s">
        <v>71</v>
      </c>
      <c r="C27" s="188">
        <f>SUM(C25,C26)</f>
        <v>8160944</v>
      </c>
    </row>
    <row r="28" spans="1:3" s="14" customFormat="1" ht="12.75" x14ac:dyDescent="0.2">
      <c r="A28" s="223">
        <v>5</v>
      </c>
      <c r="B28" s="105" t="s">
        <v>616</v>
      </c>
      <c r="C28" s="188"/>
    </row>
    <row r="29" spans="1:3" s="14" customFormat="1" ht="12.75" x14ac:dyDescent="0.2">
      <c r="A29" s="223"/>
      <c r="B29" s="97" t="s">
        <v>109</v>
      </c>
      <c r="C29" s="188">
        <f>'[1]Внешколь учр МБУ'!AN44</f>
        <v>16891295</v>
      </c>
    </row>
    <row r="30" spans="1:3" s="14" customFormat="1" ht="12.75" x14ac:dyDescent="0.2">
      <c r="A30" s="223"/>
      <c r="B30" s="97" t="s">
        <v>39</v>
      </c>
      <c r="C30" s="188">
        <f>'[1]Внешколь учр МБУ'!U48</f>
        <v>0</v>
      </c>
    </row>
    <row r="31" spans="1:3" s="14" customFormat="1" ht="12.75" x14ac:dyDescent="0.2">
      <c r="A31" s="223"/>
      <c r="B31" s="97" t="s">
        <v>242</v>
      </c>
      <c r="C31" s="188">
        <f>'[1]Внешколь учр МБУ'!AN50</f>
        <v>50397</v>
      </c>
    </row>
    <row r="32" spans="1:3" s="14" customFormat="1" ht="12.75" x14ac:dyDescent="0.2">
      <c r="A32" s="223"/>
      <c r="B32" s="97" t="s">
        <v>243</v>
      </c>
      <c r="C32" s="188">
        <f>'[1]Внешколь учр МБУ'!AN51</f>
        <v>50396</v>
      </c>
    </row>
    <row r="33" spans="1:5" s="14" customFormat="1" ht="12.75" x14ac:dyDescent="0.2">
      <c r="A33" s="223"/>
      <c r="B33" s="97" t="s">
        <v>244</v>
      </c>
      <c r="C33" s="188">
        <f>'[1]Внешколь учр МБУ'!AN52</f>
        <v>50396</v>
      </c>
    </row>
    <row r="34" spans="1:5" s="14" customFormat="1" ht="12.75" x14ac:dyDescent="0.2">
      <c r="A34" s="223"/>
      <c r="B34" s="97" t="s">
        <v>245</v>
      </c>
      <c r="C34" s="188">
        <f>'[1]Внешколь учр МБУ'!AN53</f>
        <v>50396</v>
      </c>
    </row>
    <row r="35" spans="1:5" s="14" customFormat="1" ht="12.75" x14ac:dyDescent="0.2">
      <c r="A35" s="223"/>
      <c r="B35" s="103" t="s">
        <v>246</v>
      </c>
      <c r="C35" s="188">
        <f>C31+C32+C33+C34</f>
        <v>201585</v>
      </c>
    </row>
    <row r="36" spans="1:5" s="14" customFormat="1" ht="12.75" x14ac:dyDescent="0.2">
      <c r="A36" s="223"/>
      <c r="B36" s="103" t="s">
        <v>71</v>
      </c>
      <c r="C36" s="188">
        <f>'[1]МБУ внеш учр прил  №21'!C31+'[1]МБУ внеш учр прил  №21'!C37</f>
        <v>17092880</v>
      </c>
    </row>
    <row r="37" spans="1:5" s="14" customFormat="1" ht="12.75" x14ac:dyDescent="0.2">
      <c r="A37" s="223"/>
      <c r="B37" s="103" t="s">
        <v>217</v>
      </c>
      <c r="C37" s="188">
        <f>SUM(C13,C17,C21,C25,C29)</f>
        <v>65719195</v>
      </c>
      <c r="E37" s="14" t="s">
        <v>0</v>
      </c>
    </row>
    <row r="38" spans="1:5" s="14" customFormat="1" ht="12.75" x14ac:dyDescent="0.2">
      <c r="A38" s="223"/>
      <c r="B38" s="97" t="s">
        <v>213</v>
      </c>
      <c r="C38" s="188">
        <f>'[1]Внешколь учр МБУ'!AN59</f>
        <v>9174050</v>
      </c>
    </row>
    <row r="39" spans="1:5" s="14" customFormat="1" ht="12.75" x14ac:dyDescent="0.2">
      <c r="A39" s="223"/>
      <c r="B39" s="103" t="s">
        <v>218</v>
      </c>
      <c r="C39" s="188">
        <f>SUM(C14,C18,C22,C26,C30)</f>
        <v>800000</v>
      </c>
    </row>
    <row r="40" spans="1:5" s="14" customFormat="1" ht="12.75" x14ac:dyDescent="0.2">
      <c r="A40" s="104"/>
      <c r="B40" s="104" t="s">
        <v>219</v>
      </c>
      <c r="C40" s="189">
        <f>SUM(C37,C39,C35,C38)</f>
        <v>75894830</v>
      </c>
    </row>
    <row r="41" spans="1:5" s="16" customFormat="1" ht="12.75" x14ac:dyDescent="0.2">
      <c r="C41" s="21"/>
    </row>
    <row r="42" spans="1:5" s="14" customFormat="1" ht="12.75" x14ac:dyDescent="0.2"/>
    <row r="43" spans="1:5" s="14" customFormat="1" ht="12.75" x14ac:dyDescent="0.2"/>
    <row r="44" spans="1:5" s="14" customFormat="1" ht="12.75" x14ac:dyDescent="0.2"/>
    <row r="45" spans="1:5" s="14" customFormat="1" ht="12.75" x14ac:dyDescent="0.2"/>
    <row r="46" spans="1:5" s="14" customFormat="1" ht="12.75" x14ac:dyDescent="0.2"/>
    <row r="47" spans="1:5" s="14" customFormat="1" ht="12.75" x14ac:dyDescent="0.2"/>
    <row r="48" spans="1:5" s="14" customFormat="1" ht="12.75" x14ac:dyDescent="0.2"/>
    <row r="49" s="14" customFormat="1" ht="12.75" x14ac:dyDescent="0.2"/>
    <row r="50" s="14" customFormat="1" ht="12.75" x14ac:dyDescent="0.2"/>
    <row r="51" s="14" customFormat="1" ht="12.75" x14ac:dyDescent="0.2"/>
  </sheetData>
  <mergeCells count="6">
    <mergeCell ref="B6:C6"/>
    <mergeCell ref="A7:A11"/>
    <mergeCell ref="B7:B11"/>
    <mergeCell ref="C7:C11"/>
    <mergeCell ref="B4:C4"/>
    <mergeCell ref="B5:C5"/>
  </mergeCells>
  <pageMargins left="0.7" right="0.7" top="0.75" bottom="0.75" header="0.3" footer="0.3"/>
  <pageSetup paperSize="9" scale="99" orientation="portrait" r:id="rId1"/>
  <rowBreaks count="1" manualBreakCount="1">
    <brk id="57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>
      <selection activeCell="C3" sqref="C3"/>
    </sheetView>
  </sheetViews>
  <sheetFormatPr defaultRowHeight="15" x14ac:dyDescent="0.25"/>
  <cols>
    <col min="1" max="1" width="5.140625" customWidth="1"/>
    <col min="2" max="2" width="57.42578125" customWidth="1"/>
    <col min="3" max="3" width="32.5703125" customWidth="1"/>
    <col min="4" max="4" width="18.5703125" customWidth="1"/>
  </cols>
  <sheetData>
    <row r="1" spans="1:4" s="3" customFormat="1" ht="12.75" x14ac:dyDescent="0.2">
      <c r="B1" s="2"/>
      <c r="C1" s="437" t="s">
        <v>617</v>
      </c>
      <c r="D1" s="184"/>
    </row>
    <row r="2" spans="1:4" s="3" customFormat="1" ht="12.75" x14ac:dyDescent="0.2">
      <c r="B2" s="66"/>
      <c r="C2" s="437" t="s">
        <v>603</v>
      </c>
      <c r="D2" s="184"/>
    </row>
    <row r="3" spans="1:4" s="3" customFormat="1" ht="12.75" x14ac:dyDescent="0.2">
      <c r="B3" s="66"/>
      <c r="C3" s="437" t="s">
        <v>626</v>
      </c>
      <c r="D3" s="184"/>
    </row>
    <row r="4" spans="1:4" s="3" customFormat="1" ht="12.75" x14ac:dyDescent="0.2">
      <c r="B4" s="68"/>
      <c r="C4" s="66"/>
      <c r="D4" s="184"/>
    </row>
    <row r="5" spans="1:4" s="3" customFormat="1" ht="12.75" x14ac:dyDescent="0.2">
      <c r="B5" s="612" t="s">
        <v>621</v>
      </c>
      <c r="C5" s="612"/>
    </row>
    <row r="6" spans="1:4" s="3" customFormat="1" ht="12.75" x14ac:dyDescent="0.2">
      <c r="B6" s="612" t="s">
        <v>0</v>
      </c>
      <c r="C6" s="612"/>
    </row>
    <row r="7" spans="1:4" s="3" customFormat="1" ht="13.5" thickBot="1" x14ac:dyDescent="0.25">
      <c r="C7" s="311"/>
    </row>
    <row r="8" spans="1:4" s="3" customFormat="1" ht="21" customHeight="1" x14ac:dyDescent="0.2">
      <c r="A8" s="625" t="s">
        <v>3</v>
      </c>
      <c r="B8" s="627" t="s">
        <v>107</v>
      </c>
      <c r="C8" s="629" t="s">
        <v>108</v>
      </c>
    </row>
    <row r="9" spans="1:4" s="3" customFormat="1" ht="12.75" customHeight="1" x14ac:dyDescent="0.2">
      <c r="A9" s="626"/>
      <c r="B9" s="628"/>
      <c r="C9" s="630"/>
    </row>
    <row r="10" spans="1:4" s="3" customFormat="1" ht="13.7" customHeight="1" x14ac:dyDescent="0.2">
      <c r="A10" s="626"/>
      <c r="B10" s="628"/>
      <c r="C10" s="630"/>
    </row>
    <row r="11" spans="1:4" s="3" customFormat="1" ht="9.75" customHeight="1" x14ac:dyDescent="0.2">
      <c r="A11" s="626"/>
      <c r="B11" s="628"/>
      <c r="C11" s="630"/>
    </row>
    <row r="12" spans="1:4" s="3" customFormat="1" ht="13.7" hidden="1" customHeight="1" x14ac:dyDescent="0.2">
      <c r="A12" s="626"/>
      <c r="B12" s="628"/>
      <c r="C12" s="631"/>
    </row>
    <row r="13" spans="1:4" s="3" customFormat="1" ht="15.75" customHeight="1" x14ac:dyDescent="0.2">
      <c r="A13" s="263">
        <v>1</v>
      </c>
      <c r="B13" s="205" t="str">
        <f>'[1]МБУ ЖКХ контр обн'!A6</f>
        <v>На выполнение муниципального задания</v>
      </c>
      <c r="C13" s="312">
        <f>'[1]МБУ ЖКХ контр обн'!B6</f>
        <v>15326580</v>
      </c>
      <c r="D13" s="14"/>
    </row>
    <row r="14" spans="1:4" s="3" customFormat="1" ht="15" customHeight="1" x14ac:dyDescent="0.2">
      <c r="A14" s="263">
        <v>2</v>
      </c>
      <c r="B14" s="205" t="str">
        <f>'[1]МБУ ЖКХ контр обн'!A7</f>
        <v>в том числе:</v>
      </c>
      <c r="C14" s="312" t="s">
        <v>0</v>
      </c>
    </row>
    <row r="15" spans="1:4" s="3" customFormat="1" ht="11.25" hidden="1" customHeight="1" x14ac:dyDescent="0.2">
      <c r="A15" s="263"/>
      <c r="B15" s="205" t="str">
        <f>'[1]МБУ ЖКХ контр обн'!A8</f>
        <v>0501</v>
      </c>
      <c r="C15" s="312">
        <f>'[1]МБУ ЖКХ контр обн'!B8</f>
        <v>0</v>
      </c>
    </row>
    <row r="16" spans="1:4" s="3" customFormat="1" ht="12.75" x14ac:dyDescent="0.2">
      <c r="A16" s="263" t="s">
        <v>0</v>
      </c>
      <c r="B16" s="205" t="str">
        <f>'[1]МБУ ЖКХ контр обн'!A9</f>
        <v>0502</v>
      </c>
      <c r="C16" s="312">
        <f>'[1]МБУ ЖКХ контр обн'!B9</f>
        <v>907677</v>
      </c>
    </row>
    <row r="17" spans="1:3" s="3" customFormat="1" ht="12.75" x14ac:dyDescent="0.2">
      <c r="A17" s="263" t="s">
        <v>0</v>
      </c>
      <c r="B17" s="205" t="str">
        <f>'[1]МБУ ЖКХ контр обн'!A10</f>
        <v>0503</v>
      </c>
      <c r="C17" s="312">
        <f>'[1]МБУ ЖКХ контр обн'!B10</f>
        <v>5572860</v>
      </c>
    </row>
    <row r="18" spans="1:3" s="3" customFormat="1" ht="12.75" x14ac:dyDescent="0.2">
      <c r="A18" s="263"/>
      <c r="B18" s="313" t="s">
        <v>569</v>
      </c>
      <c r="C18" s="312">
        <f>'[1]МБУ ЖКХ'!AO11</f>
        <v>8846043</v>
      </c>
    </row>
    <row r="19" spans="1:3" s="3" customFormat="1" ht="12.75" x14ac:dyDescent="0.2">
      <c r="A19" s="263" t="s">
        <v>0</v>
      </c>
      <c r="B19" s="205" t="str">
        <f>'[1]МБУ ЖКХ контр обн'!A11</f>
        <v>Иные субсидии</v>
      </c>
      <c r="C19" s="312">
        <f>'[1]МБУ ЖКХ контр обн'!B11</f>
        <v>9218763</v>
      </c>
    </row>
    <row r="20" spans="1:3" s="3" customFormat="1" ht="12.75" x14ac:dyDescent="0.2">
      <c r="A20" s="263"/>
      <c r="B20" s="205" t="str">
        <f>'[1]МБУ ЖКХ контр обн'!A12</f>
        <v>в том числе:</v>
      </c>
      <c r="C20" s="312" t="s">
        <v>0</v>
      </c>
    </row>
    <row r="21" spans="1:3" s="3" customFormat="1" ht="12.75" x14ac:dyDescent="0.2">
      <c r="A21" s="263"/>
      <c r="B21" s="205" t="str">
        <f>'[1]МБУ ЖКХ контр обн'!A13</f>
        <v>0501</v>
      </c>
      <c r="C21" s="312">
        <f>'[1]МБУ ЖКХ контр обн'!B13</f>
        <v>258763</v>
      </c>
    </row>
    <row r="22" spans="1:3" s="3" customFormat="1" ht="12.75" x14ac:dyDescent="0.2">
      <c r="A22" s="263"/>
      <c r="B22" s="205" t="str">
        <f>'[1]МБУ ЖКХ контр обн'!A14</f>
        <v>из них:</v>
      </c>
      <c r="C22" s="312">
        <f>'[1]МБУ ЖКХ контр обн'!B14</f>
        <v>0</v>
      </c>
    </row>
    <row r="23" spans="1:3" s="3" customFormat="1" ht="25.5" x14ac:dyDescent="0.2">
      <c r="A23" s="263"/>
      <c r="B23" s="205" t="str">
        <f>'[1]МБУ ЖКХ контр обн'!A15</f>
        <v>взносы на капитальный ремонт жилдомов (некомерческий фонд), согл Закону РД №57 от 09.07.2013 г.</v>
      </c>
      <c r="C23" s="312">
        <f>'[1]МБУ ЖКХ контр обн'!B15</f>
        <v>258763</v>
      </c>
    </row>
    <row r="24" spans="1:3" s="3" customFormat="1" ht="12.75" x14ac:dyDescent="0.2">
      <c r="A24" s="263"/>
      <c r="B24" s="205" t="str">
        <f>'[1]МБУ ЖКХ контр обн'!A20</f>
        <v>0502</v>
      </c>
      <c r="C24" s="312">
        <f>SUM(C26:C29)</f>
        <v>8210000</v>
      </c>
    </row>
    <row r="25" spans="1:3" s="3" customFormat="1" ht="12.75" x14ac:dyDescent="0.2">
      <c r="A25" s="263"/>
      <c r="B25" s="205" t="str">
        <f>'[1]МБУ ЖКХ контр обн'!A21</f>
        <v>из них:</v>
      </c>
      <c r="C25" s="312">
        <f>'[1]МБУ ЖКХ контр обн'!B21</f>
        <v>0</v>
      </c>
    </row>
    <row r="26" spans="1:3" s="3" customFormat="1" ht="12.75" x14ac:dyDescent="0.2">
      <c r="A26" s="263"/>
      <c r="B26" s="205" t="str">
        <f>'[1]МБУ ЖКХ контр обн'!A22</f>
        <v>на строительство канализации в местности "Бакьура" с. Ботлих</v>
      </c>
      <c r="C26" s="312">
        <f>'[1]МБУ ЖКХ контр обн'!B22</f>
        <v>5000000</v>
      </c>
    </row>
    <row r="27" spans="1:3" s="3" customFormat="1" ht="12.75" x14ac:dyDescent="0.2">
      <c r="A27" s="263"/>
      <c r="B27" s="205" t="s">
        <v>622</v>
      </c>
      <c r="C27" s="312">
        <f>'[1]МБУ ЖКХ контр обн'!B23</f>
        <v>2000000</v>
      </c>
    </row>
    <row r="28" spans="1:3" s="3" customFormat="1" ht="12.75" x14ac:dyDescent="0.2">
      <c r="A28" s="263"/>
      <c r="B28" s="205"/>
      <c r="C28" s="312">
        <f>'[1]МБУ ЖКХ контр обн'!B24</f>
        <v>0</v>
      </c>
    </row>
    <row r="29" spans="1:3" s="3" customFormat="1" ht="12.75" x14ac:dyDescent="0.2">
      <c r="A29" s="263"/>
      <c r="B29" s="205" t="str">
        <f>'[1]МБУ ЖКХ контр обн'!A25</f>
        <v>Реконструкция водопровода от бассейна до магазина "Апанди"</v>
      </c>
      <c r="C29" s="312">
        <f>'[1]МБУ ЖКХ контр обн'!B25</f>
        <v>1210000</v>
      </c>
    </row>
    <row r="30" spans="1:3" s="3" customFormat="1" ht="12.75" x14ac:dyDescent="0.2">
      <c r="A30" s="263"/>
      <c r="B30" s="205" t="str">
        <f>'[1]МБУ ЖКХ контр обн'!A33</f>
        <v>0503 Комфортная городская среда</v>
      </c>
      <c r="C30" s="312">
        <f>'[1]МБУ ЖКХ контр обн'!B33</f>
        <v>8491786</v>
      </c>
    </row>
    <row r="31" spans="1:3" s="3" customFormat="1" ht="12.75" x14ac:dyDescent="0.2">
      <c r="A31" s="263"/>
      <c r="B31" s="205" t="str">
        <f>'[1]МБУ ЖКХ контр обн'!A34</f>
        <v>из них;</v>
      </c>
      <c r="C31" s="312">
        <f>'[1]МБУ ЖКХ контр обн'!B34</f>
        <v>0</v>
      </c>
    </row>
    <row r="32" spans="1:3" s="3" customFormat="1" ht="25.5" x14ac:dyDescent="0.2">
      <c r="A32" s="263"/>
      <c r="B32" s="205" t="str">
        <f>'[1]МБУ ЖКХ контр обн'!A35</f>
        <v>Благоустройство общественной площадки по программе КГС с.Ансалта</v>
      </c>
      <c r="C32" s="312">
        <f>'[1]МБУ ЖКХ контр обн'!B35</f>
        <v>3537667</v>
      </c>
    </row>
    <row r="33" spans="1:3" s="3" customFormat="1" ht="25.5" x14ac:dyDescent="0.2">
      <c r="A33" s="263"/>
      <c r="B33" s="205" t="str">
        <f>'[1]МБУ ЖКХ контр обн'!A36</f>
        <v>Благоустройство общественной площадки по программе КГС с.Гагатли</v>
      </c>
      <c r="C33" s="312">
        <f>'[1]МБУ ЖКХ контр обн'!B36</f>
        <v>2845984</v>
      </c>
    </row>
    <row r="34" spans="1:3" s="3" customFormat="1" ht="25.5" x14ac:dyDescent="0.2">
      <c r="A34" s="263"/>
      <c r="B34" s="205" t="str">
        <f>'[1]МБУ ЖКХ контр обн'!A37</f>
        <v>Благоустройство общественной площадки по программе КГС с.Миарсо</v>
      </c>
      <c r="C34" s="312">
        <f>'[1]МБУ ЖКХ контр обн'!B37</f>
        <v>2108135</v>
      </c>
    </row>
    <row r="35" spans="1:3" s="3" customFormat="1" ht="12.75" x14ac:dyDescent="0.2">
      <c r="A35" s="263"/>
      <c r="B35" s="205" t="str">
        <f>'[1]МБУ ЖКХ контр обн'!A38</f>
        <v xml:space="preserve">0409 </v>
      </c>
      <c r="C35" s="312">
        <f>'[1]МБУ ЖКХ контр обн'!B38</f>
        <v>0</v>
      </c>
    </row>
    <row r="36" spans="1:3" s="3" customFormat="1" ht="12.75" x14ac:dyDescent="0.2">
      <c r="A36" s="263"/>
      <c r="B36" s="205" t="str">
        <f>'[1]МБУ ЖКХ контр обн'!A45</f>
        <v>0503</v>
      </c>
      <c r="C36" s="312">
        <f>'[1]МБУ ЖКХ контр обн'!B45</f>
        <v>750000</v>
      </c>
    </row>
    <row r="37" spans="1:3" s="3" customFormat="1" ht="12.75" x14ac:dyDescent="0.2">
      <c r="A37" s="263"/>
      <c r="B37" s="205" t="str">
        <f>'[1]МБУ ЖКХ контр обн'!A46</f>
        <v>Строительство детской площадки с.Хелетури</v>
      </c>
      <c r="C37" s="312">
        <f>'[1]МБУ ЖКХ контр обн'!B46</f>
        <v>750000</v>
      </c>
    </row>
    <row r="38" spans="1:3" s="3" customFormat="1" ht="12.75" x14ac:dyDescent="0.2">
      <c r="A38" s="263"/>
      <c r="B38" s="313" t="str">
        <f>'[1]МБУ ЖКХ'!B54</f>
        <v>0505</v>
      </c>
      <c r="C38" s="312">
        <f>'[1]МБУ ЖКХ контр обн'!B53</f>
        <v>0</v>
      </c>
    </row>
    <row r="39" spans="1:3" s="3" customFormat="1" ht="12.75" x14ac:dyDescent="0.2">
      <c r="A39" s="263"/>
      <c r="B39" s="313"/>
      <c r="C39" s="312">
        <f>'[1]МБУ ЖКХ контр обн'!B54</f>
        <v>0</v>
      </c>
    </row>
    <row r="40" spans="1:3" s="3" customFormat="1" ht="12.75" x14ac:dyDescent="0.2">
      <c r="A40" s="263"/>
      <c r="B40" s="205" t="str">
        <f>'[1]МБУ ЖКХ контр обн'!A55</f>
        <v>ИТОГО:</v>
      </c>
      <c r="C40" s="312">
        <f>'[1]МБУ ЖКХ контр обн'!B55</f>
        <v>24545343</v>
      </c>
    </row>
    <row r="41" spans="1:3" s="3" customFormat="1" ht="12.75" x14ac:dyDescent="0.2"/>
    <row r="42" spans="1:3" s="3" customFormat="1" ht="12.75" x14ac:dyDescent="0.2"/>
    <row r="43" spans="1:3" s="3" customFormat="1" ht="12.75" x14ac:dyDescent="0.2"/>
    <row r="44" spans="1:3" s="3" customFormat="1" ht="12.75" x14ac:dyDescent="0.2"/>
    <row r="45" spans="1:3" s="3" customFormat="1" ht="12.75" x14ac:dyDescent="0.2"/>
    <row r="46" spans="1:3" s="3" customFormat="1" ht="12.75" x14ac:dyDescent="0.2"/>
  </sheetData>
  <mergeCells count="5">
    <mergeCell ref="A8:A12"/>
    <mergeCell ref="B8:B12"/>
    <mergeCell ref="C8:C12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39"/>
  <sheetViews>
    <sheetView view="pageBreakPreview" zoomScale="85" zoomScaleNormal="100" zoomScaleSheetLayoutView="85" workbookViewId="0">
      <selection activeCell="B4" sqref="B4:D4"/>
    </sheetView>
  </sheetViews>
  <sheetFormatPr defaultRowHeight="15" x14ac:dyDescent="0.25"/>
  <cols>
    <col min="1" max="1" width="71.42578125" customWidth="1"/>
    <col min="2" max="2" width="14.5703125" customWidth="1"/>
    <col min="3" max="3" width="15" customWidth="1"/>
    <col min="4" max="4" width="14.28515625" customWidth="1"/>
  </cols>
  <sheetData>
    <row r="1" spans="1:196" s="166" customFormat="1" x14ac:dyDescent="0.25"/>
    <row r="2" spans="1:196" s="161" customFormat="1" ht="15" customHeight="1" x14ac:dyDescent="0.25">
      <c r="B2" s="480" t="s">
        <v>581</v>
      </c>
      <c r="C2" s="480"/>
      <c r="D2" s="480"/>
      <c r="E2" s="348"/>
      <c r="F2" s="348"/>
      <c r="G2" s="348"/>
    </row>
    <row r="3" spans="1:196" s="161" customFormat="1" ht="15.75" x14ac:dyDescent="0.25">
      <c r="B3" s="480" t="s">
        <v>571</v>
      </c>
      <c r="C3" s="480"/>
      <c r="D3" s="480"/>
      <c r="E3" s="348"/>
      <c r="F3" s="348"/>
      <c r="G3" s="348"/>
    </row>
    <row r="4" spans="1:196" s="161" customFormat="1" ht="15.75" x14ac:dyDescent="0.25">
      <c r="B4" s="480" t="s">
        <v>623</v>
      </c>
      <c r="C4" s="480"/>
      <c r="D4" s="480"/>
      <c r="E4" s="348"/>
      <c r="F4" s="348"/>
      <c r="G4" s="348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1:196" x14ac:dyDescent="0.25">
      <c r="A5" s="502"/>
      <c r="B5" s="502"/>
      <c r="C5" s="502"/>
      <c r="D5" s="503"/>
    </row>
    <row r="6" spans="1:196" ht="15.75" x14ac:dyDescent="0.25">
      <c r="A6" s="504" t="s">
        <v>51</v>
      </c>
      <c r="B6" s="504"/>
      <c r="C6" s="504"/>
      <c r="D6" s="505"/>
    </row>
    <row r="7" spans="1:196" ht="15.75" x14ac:dyDescent="0.25">
      <c r="A7" s="504" t="s">
        <v>52</v>
      </c>
      <c r="B7" s="504"/>
      <c r="C7" s="504"/>
      <c r="D7" s="505"/>
    </row>
    <row r="8" spans="1:196" ht="15.75" x14ac:dyDescent="0.25">
      <c r="A8" s="504" t="s">
        <v>582</v>
      </c>
      <c r="B8" s="504"/>
      <c r="C8" s="504"/>
      <c r="D8" s="505"/>
    </row>
    <row r="9" spans="1:196" ht="15.75" x14ac:dyDescent="0.25">
      <c r="A9" s="497" t="s">
        <v>53</v>
      </c>
      <c r="B9" s="497"/>
      <c r="C9" s="497"/>
      <c r="D9" s="498"/>
    </row>
    <row r="10" spans="1:196" ht="13.7" customHeight="1" x14ac:dyDescent="0.25">
      <c r="A10" s="499" t="s">
        <v>5</v>
      </c>
      <c r="B10" s="501" t="s">
        <v>585</v>
      </c>
      <c r="C10" s="501"/>
      <c r="D10" s="501"/>
    </row>
    <row r="11" spans="1:196" s="3" customFormat="1" ht="15.75" x14ac:dyDescent="0.25">
      <c r="A11" s="500"/>
      <c r="B11" s="314" t="s">
        <v>190</v>
      </c>
      <c r="C11" s="314" t="s">
        <v>231</v>
      </c>
      <c r="D11" s="314" t="s">
        <v>266</v>
      </c>
    </row>
    <row r="12" spans="1:196" ht="15.75" x14ac:dyDescent="0.25">
      <c r="A12" s="353">
        <v>1</v>
      </c>
      <c r="B12" s="354">
        <v>2</v>
      </c>
      <c r="C12" s="353">
        <v>3</v>
      </c>
      <c r="D12" s="354">
        <v>4</v>
      </c>
    </row>
    <row r="13" spans="1:196" ht="31.5" x14ac:dyDescent="0.25">
      <c r="A13" s="22" t="s">
        <v>54</v>
      </c>
      <c r="B13" s="35">
        <f>SUM(B14,B16,B20,B38)</f>
        <v>1043360.6059999999</v>
      </c>
      <c r="C13" s="35">
        <f>SUM(C14,C16,C20,C38)</f>
        <v>968021.0560000001</v>
      </c>
      <c r="D13" s="35">
        <f>SUM(D14,D16,D20,D38)</f>
        <v>969983.36600000004</v>
      </c>
    </row>
    <row r="14" spans="1:196" ht="31.5" x14ac:dyDescent="0.25">
      <c r="A14" s="22" t="s">
        <v>55</v>
      </c>
      <c r="B14" s="191">
        <f>SUM(B15:B15)</f>
        <v>241144</v>
      </c>
      <c r="C14" s="191">
        <f>SUM(C15:C15)</f>
        <v>185985</v>
      </c>
      <c r="D14" s="191">
        <f>SUM(D15:D15)</f>
        <v>185985</v>
      </c>
    </row>
    <row r="15" spans="1:196" ht="33.75" customHeight="1" x14ac:dyDescent="0.25">
      <c r="A15" s="357" t="s">
        <v>56</v>
      </c>
      <c r="B15" s="192">
        <f>'[1]Доходы №1'!E30</f>
        <v>241144</v>
      </c>
      <c r="C15" s="192">
        <f>'[1]Доходы №1'!F30</f>
        <v>185985</v>
      </c>
      <c r="D15" s="192">
        <f>'[1]Доходы №1'!G30</f>
        <v>185985</v>
      </c>
    </row>
    <row r="16" spans="1:196" ht="31.5" x14ac:dyDescent="0.25">
      <c r="A16" s="22" t="s">
        <v>57</v>
      </c>
      <c r="B16" s="194">
        <f>SUM(B17:B19)</f>
        <v>39586.527999999998</v>
      </c>
      <c r="C16" s="194">
        <f>SUM(C17:C19)</f>
        <v>39586.527999999998</v>
      </c>
      <c r="D16" s="194">
        <f>SUM(D17:D19)</f>
        <v>38601.938000000002</v>
      </c>
    </row>
    <row r="17" spans="1:4" ht="31.5" x14ac:dyDescent="0.25">
      <c r="A17" s="355" t="s">
        <v>191</v>
      </c>
      <c r="B17" s="195">
        <f>'[1]Доходы №1'!E36</f>
        <v>8087.4160000000002</v>
      </c>
      <c r="C17" s="195">
        <f>'[1]Доходы №1'!F36</f>
        <v>8087.4160000000002</v>
      </c>
      <c r="D17" s="195">
        <f>'[1]Доходы №1'!G36</f>
        <v>8895.06</v>
      </c>
    </row>
    <row r="18" spans="1:4" ht="15.75" x14ac:dyDescent="0.25">
      <c r="A18" s="24" t="s">
        <v>28</v>
      </c>
      <c r="B18" s="36">
        <f>'[1]Доходы №1'!E37</f>
        <v>29706.878000000001</v>
      </c>
      <c r="C18" s="36">
        <f>'[1]Доходы №1'!F37</f>
        <v>29706.878000000001</v>
      </c>
      <c r="D18" s="36">
        <f>'[1]Доходы №1'!G37</f>
        <v>29706.878000000001</v>
      </c>
    </row>
    <row r="19" spans="1:4" ht="63" x14ac:dyDescent="0.25">
      <c r="A19" s="337" t="s">
        <v>232</v>
      </c>
      <c r="B19" s="36">
        <f>'[1]Доходы №1'!E38</f>
        <v>1792.2339999999999</v>
      </c>
      <c r="C19" s="36">
        <f>'[1]Доходы №1'!F38</f>
        <v>1792.2339999999999</v>
      </c>
      <c r="D19" s="36">
        <f>'[1]Доходы №1'!G38</f>
        <v>0</v>
      </c>
    </row>
    <row r="20" spans="1:4" ht="31.5" x14ac:dyDescent="0.25">
      <c r="A20" s="22" t="s">
        <v>58</v>
      </c>
      <c r="B20" s="194">
        <f>SUM(B21:B37)</f>
        <v>762630.07799999998</v>
      </c>
      <c r="C20" s="194">
        <f>SUM(C21:C37)</f>
        <v>742449.52800000005</v>
      </c>
      <c r="D20" s="194">
        <f>SUM(D21:D37)</f>
        <v>745396.42800000007</v>
      </c>
    </row>
    <row r="21" spans="1:4" ht="63" x14ac:dyDescent="0.25">
      <c r="A21" s="25" t="s">
        <v>586</v>
      </c>
      <c r="B21" s="192">
        <f>'[1]Доходы №1'!E41</f>
        <v>494213</v>
      </c>
      <c r="C21" s="192">
        <f>'[1]Доходы №1'!F41</f>
        <v>494213</v>
      </c>
      <c r="D21" s="192">
        <f>'[1]Доходы №1'!G41</f>
        <v>494213</v>
      </c>
    </row>
    <row r="22" spans="1:4" ht="47.25" x14ac:dyDescent="0.25">
      <c r="A22" s="25" t="s">
        <v>587</v>
      </c>
      <c r="B22" s="192">
        <f>'[1]Доходы №1'!E42</f>
        <v>121170</v>
      </c>
      <c r="C22" s="192">
        <f>'[1]Доходы №1'!F42</f>
        <v>121170</v>
      </c>
      <c r="D22" s="192">
        <f>'[1]Доходы №1'!G42</f>
        <v>121170</v>
      </c>
    </row>
    <row r="23" spans="1:4" ht="47.25" x14ac:dyDescent="0.25">
      <c r="A23" s="196" t="s">
        <v>234</v>
      </c>
      <c r="B23" s="36">
        <f>'[1]Доходы №1'!E49</f>
        <v>35688.078000000001</v>
      </c>
      <c r="C23" s="36">
        <f>'[1]Доходы №1'!F49</f>
        <v>35688.078000000001</v>
      </c>
      <c r="D23" s="36">
        <f>'[1]Доходы №1'!G49</f>
        <v>38382.277999999998</v>
      </c>
    </row>
    <row r="24" spans="1:4" ht="63" x14ac:dyDescent="0.25">
      <c r="A24" s="27" t="s">
        <v>59</v>
      </c>
      <c r="B24" s="193">
        <f>'[1]Доходы №1'!E52</f>
        <v>3109</v>
      </c>
      <c r="C24" s="193">
        <f>'[1]Доходы №1'!F52</f>
        <v>3220</v>
      </c>
      <c r="D24" s="193">
        <f>'[1]Доходы №1'!G52</f>
        <v>3325</v>
      </c>
    </row>
    <row r="25" spans="1:4" ht="47.25" x14ac:dyDescent="0.25">
      <c r="A25" s="26" t="s">
        <v>60</v>
      </c>
      <c r="B25" s="36">
        <f>'[1]Доходы №1'!E54</f>
        <v>746</v>
      </c>
      <c r="C25" s="36">
        <f>'[1]Доходы №1'!F54</f>
        <v>772</v>
      </c>
      <c r="D25" s="36">
        <f>'[1]Доходы №1'!G54</f>
        <v>793</v>
      </c>
    </row>
    <row r="26" spans="1:4" ht="47.25" x14ac:dyDescent="0.25">
      <c r="A26" s="26" t="s">
        <v>61</v>
      </c>
      <c r="B26" s="36">
        <f>'[1]Доходы №1'!E53</f>
        <v>372</v>
      </c>
      <c r="C26" s="36">
        <f>'[1]Доходы №1'!F53</f>
        <v>387</v>
      </c>
      <c r="D26" s="36">
        <f>'[1]Доходы №1'!G53</f>
        <v>397</v>
      </c>
    </row>
    <row r="27" spans="1:4" ht="63" x14ac:dyDescent="0.25">
      <c r="A27" s="26" t="s">
        <v>62</v>
      </c>
      <c r="B27" s="36">
        <f>'[1]Доходы №1'!E55</f>
        <v>744</v>
      </c>
      <c r="C27" s="36">
        <f>'[1]Доходы №1'!F55</f>
        <v>772</v>
      </c>
      <c r="D27" s="36">
        <f>'[1]Доходы №1'!G55</f>
        <v>793</v>
      </c>
    </row>
    <row r="28" spans="1:4" ht="47.25" x14ac:dyDescent="0.25">
      <c r="A28" s="26" t="s">
        <v>63</v>
      </c>
      <c r="B28" s="36">
        <f>'[1]Доходы №1'!E48</f>
        <v>58.4</v>
      </c>
      <c r="C28" s="36">
        <f>'[1]Доходы №1'!F48</f>
        <v>58.4</v>
      </c>
      <c r="D28" s="36">
        <f>'[1]Доходы №1'!G48</f>
        <v>58.4</v>
      </c>
    </row>
    <row r="29" spans="1:4" ht="47.25" x14ac:dyDescent="0.25">
      <c r="A29" s="23" t="s">
        <v>64</v>
      </c>
      <c r="B29" s="36">
        <f>'[1]Доходы №1'!E50</f>
        <v>101126</v>
      </c>
      <c r="C29" s="36">
        <f>'[1]Доходы №1'!F50</f>
        <v>80901</v>
      </c>
      <c r="D29" s="36">
        <f>'[1]Доходы №1'!G50</f>
        <v>80901</v>
      </c>
    </row>
    <row r="30" spans="1:4" ht="31.5" x14ac:dyDescent="0.25">
      <c r="A30" s="30" t="s">
        <v>192</v>
      </c>
      <c r="B30" s="36">
        <f>'[1]Доходы №1'!E51</f>
        <v>170</v>
      </c>
      <c r="C30" s="36">
        <f>'[1]Доходы №1'!F51</f>
        <v>0</v>
      </c>
      <c r="D30" s="36">
        <f>'[1]Доходы №1'!G51</f>
        <v>0</v>
      </c>
    </row>
    <row r="31" spans="1:4" s="29" customFormat="1" ht="63" x14ac:dyDescent="0.25">
      <c r="A31" s="28" t="s">
        <v>65</v>
      </c>
      <c r="B31" s="195">
        <f>'[1]Доходы №1'!E44</f>
        <v>1350</v>
      </c>
      <c r="C31" s="195">
        <f>'[1]Доходы №1'!F44</f>
        <v>1350</v>
      </c>
      <c r="D31" s="195">
        <f>'[1]Доходы №1'!G44</f>
        <v>1350</v>
      </c>
    </row>
    <row r="32" spans="1:4" s="29" customFormat="1" ht="47.25" x14ac:dyDescent="0.25">
      <c r="A32" s="28" t="s">
        <v>66</v>
      </c>
      <c r="B32" s="36">
        <f>'[1]Доходы №1'!E43</f>
        <v>2317</v>
      </c>
      <c r="C32" s="36">
        <f>'[1]Доходы №1'!F43</f>
        <v>2410</v>
      </c>
      <c r="D32" s="36">
        <f>'[1]Доходы №1'!G43</f>
        <v>2506</v>
      </c>
    </row>
    <row r="33" spans="1:4" s="29" customFormat="1" ht="47.25" x14ac:dyDescent="0.25">
      <c r="A33" s="30" t="s">
        <v>67</v>
      </c>
      <c r="B33" s="36">
        <f>'[1]Доходы №1'!E45</f>
        <v>1505.4</v>
      </c>
      <c r="C33" s="36">
        <f>'[1]Доходы №1'!F45</f>
        <v>1505.4</v>
      </c>
      <c r="D33" s="36">
        <f>'[1]Доходы №1'!G45</f>
        <v>1505.4</v>
      </c>
    </row>
    <row r="34" spans="1:4" s="29" customFormat="1" ht="31.5" x14ac:dyDescent="0.25">
      <c r="A34" s="30" t="s">
        <v>68</v>
      </c>
      <c r="B34" s="36">
        <f>'[1]Доходы №1'!E46</f>
        <v>0</v>
      </c>
      <c r="C34" s="36">
        <f>'[1]Доходы №1'!F46</f>
        <v>0</v>
      </c>
      <c r="D34" s="36">
        <f>'[1]Доходы №1'!G46</f>
        <v>0</v>
      </c>
    </row>
    <row r="35" spans="1:4" s="29" customFormat="1" ht="4.5" hidden="1" customHeight="1" x14ac:dyDescent="0.25">
      <c r="A35" s="31"/>
      <c r="B35" s="36"/>
      <c r="C35" s="36"/>
      <c r="D35" s="36"/>
    </row>
    <row r="36" spans="1:4" s="29" customFormat="1" ht="47.25" x14ac:dyDescent="0.25">
      <c r="A36" s="30" t="s">
        <v>69</v>
      </c>
      <c r="B36" s="36">
        <f>'[1]Доходы №1'!E47</f>
        <v>0</v>
      </c>
      <c r="C36" s="36">
        <f>'[1]Доходы №1'!F47</f>
        <v>0</v>
      </c>
      <c r="D36" s="36">
        <f>'[1]Доходы №1'!G47</f>
        <v>0</v>
      </c>
    </row>
    <row r="37" spans="1:4" ht="47.25" x14ac:dyDescent="0.25">
      <c r="A37" s="32" t="s">
        <v>70</v>
      </c>
      <c r="B37" s="193">
        <f>'[1]Доходы №1'!E56</f>
        <v>61.2</v>
      </c>
      <c r="C37" s="193">
        <f>'[1]Доходы №1'!F56</f>
        <v>2.65</v>
      </c>
      <c r="D37" s="193">
        <f>'[1]Доходы №1'!G56</f>
        <v>2.35</v>
      </c>
    </row>
    <row r="38" spans="1:4" s="29" customFormat="1" ht="15.75" x14ac:dyDescent="0.25">
      <c r="A38" s="33" t="s">
        <v>33</v>
      </c>
      <c r="B38" s="37">
        <f>B39</f>
        <v>0</v>
      </c>
      <c r="C38" s="37">
        <f>C39</f>
        <v>0</v>
      </c>
      <c r="D38" s="37">
        <f>D39</f>
        <v>0</v>
      </c>
    </row>
    <row r="39" spans="1:4" s="29" customFormat="1" ht="15.75" x14ac:dyDescent="0.25">
      <c r="A39" s="34"/>
      <c r="B39" s="34">
        <f>'[1]Доходы №1'!E58</f>
        <v>0</v>
      </c>
      <c r="C39" s="356"/>
      <c r="D39" s="356"/>
    </row>
  </sheetData>
  <mergeCells count="10">
    <mergeCell ref="B2:D2"/>
    <mergeCell ref="B3:D3"/>
    <mergeCell ref="B4:D4"/>
    <mergeCell ref="A9:D9"/>
    <mergeCell ref="A10:A11"/>
    <mergeCell ref="B10:D10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68"/>
  <sheetViews>
    <sheetView workbookViewId="0">
      <selection activeCell="B4" sqref="B4:F4"/>
    </sheetView>
  </sheetViews>
  <sheetFormatPr defaultRowHeight="15" x14ac:dyDescent="0.25"/>
  <cols>
    <col min="1" max="1" width="62.5703125" customWidth="1"/>
    <col min="2" max="2" width="5.42578125" customWidth="1"/>
    <col min="3" max="3" width="6.7109375" customWidth="1"/>
    <col min="4" max="4" width="14.85546875" customWidth="1"/>
    <col min="5" max="5" width="15" customWidth="1"/>
    <col min="6" max="6" width="14.7109375" customWidth="1"/>
  </cols>
  <sheetData>
    <row r="1" spans="1:196" s="166" customFormat="1" x14ac:dyDescent="0.25"/>
    <row r="2" spans="1:196" s="161" customFormat="1" ht="15" customHeight="1" x14ac:dyDescent="0.25">
      <c r="B2" s="480" t="s">
        <v>593</v>
      </c>
      <c r="C2" s="480"/>
      <c r="D2" s="480"/>
      <c r="E2" s="480"/>
      <c r="F2" s="480"/>
      <c r="G2" s="348"/>
    </row>
    <row r="3" spans="1:196" s="161" customFormat="1" ht="15.75" x14ac:dyDescent="0.25">
      <c r="B3" s="480" t="s">
        <v>571</v>
      </c>
      <c r="C3" s="480"/>
      <c r="D3" s="480"/>
      <c r="E3" s="480"/>
      <c r="F3" s="480"/>
      <c r="G3" s="348"/>
    </row>
    <row r="4" spans="1:196" s="161" customFormat="1" ht="15.75" x14ac:dyDescent="0.25">
      <c r="B4" s="480" t="s">
        <v>623</v>
      </c>
      <c r="C4" s="480"/>
      <c r="D4" s="480"/>
      <c r="E4" s="480"/>
      <c r="F4" s="480"/>
      <c r="G4" s="348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1:196" ht="12" customHeight="1" x14ac:dyDescent="0.25">
      <c r="A5" s="264"/>
      <c r="B5" s="265"/>
      <c r="C5" s="266"/>
      <c r="D5" s="267"/>
      <c r="E5" s="268"/>
    </row>
    <row r="6" spans="1:196" ht="16.5" customHeight="1" x14ac:dyDescent="0.25">
      <c r="A6" s="506" t="s">
        <v>320</v>
      </c>
      <c r="B6" s="506"/>
      <c r="C6" s="506"/>
      <c r="D6" s="506"/>
      <c r="E6" s="506"/>
      <c r="F6" s="506"/>
    </row>
    <row r="7" spans="1:196" ht="16.5" customHeight="1" x14ac:dyDescent="0.25">
      <c r="A7" s="506" t="s">
        <v>321</v>
      </c>
      <c r="B7" s="506"/>
      <c r="C7" s="506"/>
      <c r="D7" s="506"/>
      <c r="E7" s="506"/>
      <c r="F7" s="506"/>
    </row>
    <row r="8" spans="1:196" ht="13.7" customHeight="1" x14ac:dyDescent="0.25">
      <c r="A8" s="506" t="s">
        <v>322</v>
      </c>
      <c r="B8" s="506"/>
      <c r="C8" s="506"/>
      <c r="D8" s="506"/>
      <c r="E8" s="506"/>
      <c r="F8" s="506"/>
    </row>
    <row r="9" spans="1:196" ht="15.75" x14ac:dyDescent="0.25">
      <c r="A9" s="380" t="s">
        <v>0</v>
      </c>
      <c r="B9" s="269"/>
      <c r="C9" s="269"/>
      <c r="D9" s="269"/>
      <c r="E9" s="381"/>
      <c r="F9" s="382"/>
    </row>
    <row r="10" spans="1:196" ht="47.25" customHeight="1" x14ac:dyDescent="0.25">
      <c r="A10" s="358" t="s">
        <v>35</v>
      </c>
      <c r="B10" s="378" t="s">
        <v>392</v>
      </c>
      <c r="C10" s="378" t="s">
        <v>591</v>
      </c>
      <c r="D10" s="359" t="s">
        <v>588</v>
      </c>
      <c r="E10" s="359" t="s">
        <v>589</v>
      </c>
      <c r="F10" s="359" t="s">
        <v>590</v>
      </c>
    </row>
    <row r="11" spans="1:196" ht="14.25" customHeight="1" x14ac:dyDescent="0.25">
      <c r="A11" s="360" t="s">
        <v>48</v>
      </c>
      <c r="B11" s="360" t="s">
        <v>36</v>
      </c>
      <c r="C11" s="360" t="s">
        <v>49</v>
      </c>
      <c r="D11" s="361">
        <v>4</v>
      </c>
      <c r="E11" s="360" t="s">
        <v>50</v>
      </c>
      <c r="F11" s="361">
        <v>5</v>
      </c>
    </row>
    <row r="12" spans="1:196" ht="15.75" x14ac:dyDescent="0.25">
      <c r="A12" s="362" t="s">
        <v>323</v>
      </c>
      <c r="B12" s="363" t="s">
        <v>324</v>
      </c>
      <c r="C12" s="364"/>
      <c r="D12" s="365">
        <f>SUM(D13:D20)</f>
        <v>41462688.933919996</v>
      </c>
      <c r="E12" s="365">
        <f>SUM(E13:E20)</f>
        <v>41394138.933919996</v>
      </c>
      <c r="F12" s="365">
        <f>SUM(F13:F20)</f>
        <v>41393838.933919996</v>
      </c>
    </row>
    <row r="13" spans="1:196" ht="31.5" x14ac:dyDescent="0.25">
      <c r="A13" s="366" t="s">
        <v>325</v>
      </c>
      <c r="B13" s="367" t="s">
        <v>324</v>
      </c>
      <c r="C13" s="368" t="s">
        <v>326</v>
      </c>
      <c r="D13" s="369">
        <f>'[1]ВСРБМР 5'!G10</f>
        <v>1865603.0876800001</v>
      </c>
      <c r="E13" s="370">
        <f>D13</f>
        <v>1865603.0876800001</v>
      </c>
      <c r="F13" s="379">
        <f>D13</f>
        <v>1865603.0876800001</v>
      </c>
    </row>
    <row r="14" spans="1:196" s="270" customFormat="1" ht="47.25" x14ac:dyDescent="0.2">
      <c r="A14" s="366" t="s">
        <v>327</v>
      </c>
      <c r="B14" s="367" t="s">
        <v>324</v>
      </c>
      <c r="C14" s="368" t="s">
        <v>328</v>
      </c>
      <c r="D14" s="369">
        <f>'[1]ВСРБМР 5'!G14</f>
        <v>2065424.3235199999</v>
      </c>
      <c r="E14" s="369">
        <f>'[1]ВСРБМР 5'!H14</f>
        <v>2065424.3235199999</v>
      </c>
      <c r="F14" s="369">
        <f>'[1]ВСРБМР 5'!I14</f>
        <v>2065424.3235199999</v>
      </c>
      <c r="J14" s="270" t="s">
        <v>329</v>
      </c>
    </row>
    <row r="15" spans="1:196" ht="47.25" x14ac:dyDescent="0.25">
      <c r="A15" s="366" t="s">
        <v>592</v>
      </c>
      <c r="B15" s="367" t="s">
        <v>324</v>
      </c>
      <c r="C15" s="368" t="s">
        <v>330</v>
      </c>
      <c r="D15" s="369">
        <f>'[1]ВСРБМР 5'!G18</f>
        <v>15380982.457759999</v>
      </c>
      <c r="E15" s="369">
        <f>'[1]ВСРБМР 5'!H18</f>
        <v>15380982.457759999</v>
      </c>
      <c r="F15" s="369">
        <f>'[1]ВСРБМР 5'!I18</f>
        <v>15380982.457759999</v>
      </c>
    </row>
    <row r="16" spans="1:196" ht="31.5" x14ac:dyDescent="0.25">
      <c r="A16" s="371" t="s">
        <v>331</v>
      </c>
      <c r="B16" s="372" t="s">
        <v>324</v>
      </c>
      <c r="C16" s="373" t="s">
        <v>332</v>
      </c>
      <c r="D16" s="369">
        <f>'[1]ВСРБМР 5'!G23</f>
        <v>61200</v>
      </c>
      <c r="E16" s="369">
        <f>'[1]ВСРБМР 5'!H23</f>
        <v>2650</v>
      </c>
      <c r="F16" s="369">
        <f>'[1]ВСРБМР 5'!I23</f>
        <v>2350</v>
      </c>
    </row>
    <row r="17" spans="1:7" ht="47.25" x14ac:dyDescent="0.25">
      <c r="A17" s="366" t="s">
        <v>333</v>
      </c>
      <c r="B17" s="367" t="s">
        <v>324</v>
      </c>
      <c r="C17" s="368" t="s">
        <v>334</v>
      </c>
      <c r="D17" s="369">
        <f>'[1]ВСРБМР 5'!G25</f>
        <v>7593270.7257599998</v>
      </c>
      <c r="E17" s="369">
        <f>'[1]ВСРБМР 5'!H25</f>
        <v>7583270.7257599998</v>
      </c>
      <c r="F17" s="369">
        <f>'[1]ВСРБМР 5'!I25</f>
        <v>7583270.7257599998</v>
      </c>
    </row>
    <row r="18" spans="1:7" ht="15.75" x14ac:dyDescent="0.25">
      <c r="A18" s="366" t="s">
        <v>335</v>
      </c>
      <c r="B18" s="367" t="s">
        <v>324</v>
      </c>
      <c r="C18" s="368" t="s">
        <v>336</v>
      </c>
      <c r="D18" s="369"/>
      <c r="E18" s="374"/>
      <c r="F18" s="383"/>
    </row>
    <row r="19" spans="1:7" ht="15.75" x14ac:dyDescent="0.25">
      <c r="A19" s="366" t="s">
        <v>337</v>
      </c>
      <c r="B19" s="367" t="s">
        <v>324</v>
      </c>
      <c r="C19" s="368" t="s">
        <v>38</v>
      </c>
      <c r="D19" s="369">
        <f>'[1]ВСРБМР 5'!G35</f>
        <v>2500000</v>
      </c>
      <c r="E19" s="369">
        <f>'[1]ВСРБМР 5'!H35</f>
        <v>2500000</v>
      </c>
      <c r="F19" s="369">
        <f>'[1]ВСРБМР 5'!I35</f>
        <v>2500000</v>
      </c>
    </row>
    <row r="20" spans="1:7" ht="15.75" x14ac:dyDescent="0.25">
      <c r="A20" s="366" t="s">
        <v>338</v>
      </c>
      <c r="B20" s="367" t="s">
        <v>324</v>
      </c>
      <c r="C20" s="368" t="s">
        <v>339</v>
      </c>
      <c r="D20" s="369">
        <f>'[1]ВСРБМР 5'!G38</f>
        <v>11996208.339199999</v>
      </c>
      <c r="E20" s="369">
        <f>'[1]ВСРБМР 5'!H38</f>
        <v>11996208.339199999</v>
      </c>
      <c r="F20" s="369">
        <f>'[1]ВСРБМР 5'!I38</f>
        <v>11996208.339199999</v>
      </c>
    </row>
    <row r="21" spans="1:7" ht="15.75" x14ac:dyDescent="0.25">
      <c r="A21" s="362" t="s">
        <v>340</v>
      </c>
      <c r="B21" s="363" t="s">
        <v>326</v>
      </c>
      <c r="C21" s="364"/>
      <c r="D21" s="365"/>
      <c r="E21" s="374"/>
      <c r="F21" s="383"/>
      <c r="G21" t="s">
        <v>0</v>
      </c>
    </row>
    <row r="22" spans="1:7" ht="15.75" x14ac:dyDescent="0.25">
      <c r="A22" s="366" t="s">
        <v>341</v>
      </c>
      <c r="B22" s="367" t="s">
        <v>326</v>
      </c>
      <c r="C22" s="368" t="s">
        <v>330</v>
      </c>
      <c r="D22" s="369"/>
      <c r="E22" s="374"/>
      <c r="F22" s="383"/>
    </row>
    <row r="23" spans="1:7" ht="31.5" x14ac:dyDescent="0.25">
      <c r="A23" s="362" t="s">
        <v>342</v>
      </c>
      <c r="B23" s="363" t="s">
        <v>328</v>
      </c>
      <c r="C23" s="364"/>
      <c r="D23" s="365">
        <f>SUM(D24:D27)</f>
        <v>4349248.0707200002</v>
      </c>
      <c r="E23" s="365">
        <f>SUM(E24:E27)</f>
        <v>4349248.0707200002</v>
      </c>
      <c r="F23" s="365">
        <f>SUM(F24:F27)</f>
        <v>4349248.0707200002</v>
      </c>
    </row>
    <row r="24" spans="1:7" ht="15.75" x14ac:dyDescent="0.25">
      <c r="A24" s="366" t="s">
        <v>343</v>
      </c>
      <c r="B24" s="367" t="s">
        <v>328</v>
      </c>
      <c r="C24" s="368" t="s">
        <v>326</v>
      </c>
      <c r="D24" s="369"/>
      <c r="E24" s="374"/>
      <c r="F24" s="383"/>
    </row>
    <row r="25" spans="1:7" ht="15.75" x14ac:dyDescent="0.25">
      <c r="A25" s="366" t="s">
        <v>344</v>
      </c>
      <c r="B25" s="367" t="s">
        <v>328</v>
      </c>
      <c r="C25" s="368" t="s">
        <v>330</v>
      </c>
      <c r="D25" s="369">
        <f>'[1]ВСРБМР 5'!G67</f>
        <v>0</v>
      </c>
      <c r="E25" s="369">
        <f>'[1]ВСРБМР 5'!H67</f>
        <v>0</v>
      </c>
      <c r="F25" s="369">
        <f>'[1]ВСРБМР 5'!I67</f>
        <v>0</v>
      </c>
    </row>
    <row r="26" spans="1:7" ht="31.5" x14ac:dyDescent="0.25">
      <c r="A26" s="366" t="s">
        <v>345</v>
      </c>
      <c r="B26" s="367" t="s">
        <v>328</v>
      </c>
      <c r="C26" s="368">
        <v>10</v>
      </c>
      <c r="D26" s="369">
        <f>'[1]ВСРБМР 5'!G70</f>
        <v>4349248.0707200002</v>
      </c>
      <c r="E26" s="369">
        <f>'[1]ВСРБМР 5'!H70</f>
        <v>4349248.0707200002</v>
      </c>
      <c r="F26" s="369">
        <f>'[1]ВСРБМР 5'!I70</f>
        <v>4349248.0707200002</v>
      </c>
    </row>
    <row r="27" spans="1:7" ht="31.5" x14ac:dyDescent="0.25">
      <c r="A27" s="366" t="s">
        <v>346</v>
      </c>
      <c r="B27" s="367" t="s">
        <v>328</v>
      </c>
      <c r="C27" s="368" t="s">
        <v>347</v>
      </c>
      <c r="D27" s="369"/>
      <c r="E27" s="374"/>
      <c r="F27" s="383"/>
    </row>
    <row r="28" spans="1:7" ht="15.75" x14ac:dyDescent="0.25">
      <c r="A28" s="362" t="s">
        <v>348</v>
      </c>
      <c r="B28" s="363" t="s">
        <v>330</v>
      </c>
      <c r="C28" s="364"/>
      <c r="D28" s="365">
        <f>SUM(D29:D33)</f>
        <v>28969183.181759998</v>
      </c>
      <c r="E28" s="365">
        <f>SUM(E29:E33)</f>
        <v>44700183.181759998</v>
      </c>
      <c r="F28" s="365">
        <f>SUM(F29:F33)</f>
        <v>13238183.18176</v>
      </c>
    </row>
    <row r="29" spans="1:7" ht="15.75" x14ac:dyDescent="0.25">
      <c r="A29" s="366" t="s">
        <v>349</v>
      </c>
      <c r="B29" s="367" t="s">
        <v>330</v>
      </c>
      <c r="C29" s="368" t="s">
        <v>324</v>
      </c>
      <c r="D29" s="369">
        <f>'[1]ВСРБМР 5'!G80</f>
        <v>0</v>
      </c>
      <c r="E29" s="369">
        <f>'[1]ВСРБМР 5'!H80</f>
        <v>0</v>
      </c>
      <c r="F29" s="369">
        <f>'[1]ВСРБМР 5'!I80</f>
        <v>0</v>
      </c>
    </row>
    <row r="30" spans="1:7" ht="15.75" x14ac:dyDescent="0.25">
      <c r="A30" s="366" t="s">
        <v>350</v>
      </c>
      <c r="B30" s="367" t="s">
        <v>330</v>
      </c>
      <c r="C30" s="368" t="s">
        <v>332</v>
      </c>
      <c r="D30" s="369">
        <f>'[1]ВСРБМР 5'!G82</f>
        <v>2872583.1817600001</v>
      </c>
      <c r="E30" s="369">
        <f>'[1]ВСРБМР 5'!H82</f>
        <v>2872583.1817600001</v>
      </c>
      <c r="F30" s="369">
        <f>'[1]ВСРБМР 5'!I82</f>
        <v>2872583.1817600001</v>
      </c>
    </row>
    <row r="31" spans="1:7" ht="15.75" x14ac:dyDescent="0.25">
      <c r="A31" s="366" t="s">
        <v>351</v>
      </c>
      <c r="B31" s="367" t="s">
        <v>330</v>
      </c>
      <c r="C31" s="368" t="s">
        <v>352</v>
      </c>
      <c r="D31" s="369"/>
      <c r="E31" s="374"/>
      <c r="F31" s="383"/>
    </row>
    <row r="32" spans="1:7" ht="15.75" x14ac:dyDescent="0.25">
      <c r="A32" s="366" t="s">
        <v>353</v>
      </c>
      <c r="B32" s="367" t="s">
        <v>330</v>
      </c>
      <c r="C32" s="368" t="s">
        <v>354</v>
      </c>
      <c r="D32" s="369">
        <f>'[1]ВСРБМР 5'!G88</f>
        <v>26096600</v>
      </c>
      <c r="E32" s="369">
        <f>'[1]ВСРБМР 5'!H88</f>
        <v>41827600</v>
      </c>
      <c r="F32" s="369">
        <f>'[1]ВСРБМР 5'!I88</f>
        <v>10365600</v>
      </c>
    </row>
    <row r="33" spans="1:6" ht="15.75" x14ac:dyDescent="0.25">
      <c r="A33" s="366" t="s">
        <v>355</v>
      </c>
      <c r="B33" s="367" t="s">
        <v>330</v>
      </c>
      <c r="C33" s="368" t="s">
        <v>356</v>
      </c>
      <c r="D33" s="369"/>
      <c r="E33" s="374"/>
      <c r="F33" s="383"/>
    </row>
    <row r="34" spans="1:6" ht="15.75" x14ac:dyDescent="0.25">
      <c r="A34" s="362" t="s">
        <v>357</v>
      </c>
      <c r="B34" s="363" t="s">
        <v>332</v>
      </c>
      <c r="C34" s="364"/>
      <c r="D34" s="365">
        <f>SUM(D35:D38)</f>
        <v>24545343</v>
      </c>
      <c r="E34" s="365">
        <f>SUM(E35:E38)</f>
        <v>5572860</v>
      </c>
      <c r="F34" s="365">
        <f>SUM(F35:F38)</f>
        <v>5572860</v>
      </c>
    </row>
    <row r="35" spans="1:6" ht="15.75" x14ac:dyDescent="0.25">
      <c r="A35" s="366" t="s">
        <v>358</v>
      </c>
      <c r="B35" s="372" t="s">
        <v>330</v>
      </c>
      <c r="C35" s="373" t="s">
        <v>354</v>
      </c>
      <c r="D35" s="369">
        <f>'[1]ВСРБМР 5'!G100</f>
        <v>0</v>
      </c>
      <c r="E35" s="370">
        <v>0</v>
      </c>
      <c r="F35" s="383">
        <v>0</v>
      </c>
    </row>
    <row r="36" spans="1:6" ht="15.75" x14ac:dyDescent="0.25">
      <c r="A36" s="366" t="s">
        <v>359</v>
      </c>
      <c r="B36" s="367" t="s">
        <v>332</v>
      </c>
      <c r="C36" s="368" t="s">
        <v>326</v>
      </c>
      <c r="D36" s="369">
        <f>SUM('[1]ВСРБМР 5'!G94:G95)</f>
        <v>10126440</v>
      </c>
      <c r="E36" s="374"/>
      <c r="F36" s="383"/>
    </row>
    <row r="37" spans="1:6" ht="15.75" x14ac:dyDescent="0.25">
      <c r="A37" s="366" t="s">
        <v>360</v>
      </c>
      <c r="B37" s="367" t="s">
        <v>332</v>
      </c>
      <c r="C37" s="368" t="s">
        <v>328</v>
      </c>
      <c r="D37" s="369">
        <f>SUM('[1]ВСРБМР 5'!G96:G97)</f>
        <v>5572860</v>
      </c>
      <c r="E37" s="369">
        <f>SUM('[1]ВСРБМР 5'!H96:H97)</f>
        <v>5572860</v>
      </c>
      <c r="F37" s="369">
        <f>SUM('[1]ВСРБМР 5'!I96:I97)</f>
        <v>5572860</v>
      </c>
    </row>
    <row r="38" spans="1:6" ht="31.5" x14ac:dyDescent="0.25">
      <c r="A38" s="366" t="s">
        <v>361</v>
      </c>
      <c r="B38" s="367" t="s">
        <v>332</v>
      </c>
      <c r="C38" s="368" t="s">
        <v>332</v>
      </c>
      <c r="D38" s="369">
        <f>'[1]ВСРБМР 5'!G99</f>
        <v>8846043</v>
      </c>
      <c r="E38" s="374"/>
      <c r="F38" s="383"/>
    </row>
    <row r="39" spans="1:6" ht="15.75" x14ac:dyDescent="0.25">
      <c r="A39" s="362" t="s">
        <v>362</v>
      </c>
      <c r="B39" s="363" t="s">
        <v>336</v>
      </c>
      <c r="C39" s="364"/>
      <c r="D39" s="365">
        <f>SUM(D40:D44)</f>
        <v>911563818.65572524</v>
      </c>
      <c r="E39" s="365">
        <f>SUM(E40:E44)</f>
        <v>867240273.32872522</v>
      </c>
      <c r="F39" s="365">
        <f>SUM(F40:F44)</f>
        <v>907356681.53272521</v>
      </c>
    </row>
    <row r="40" spans="1:6" ht="15.75" x14ac:dyDescent="0.25">
      <c r="A40" s="366" t="s">
        <v>363</v>
      </c>
      <c r="B40" s="367" t="s">
        <v>336</v>
      </c>
      <c r="C40" s="368" t="s">
        <v>324</v>
      </c>
      <c r="D40" s="369">
        <f>'[1]ВСРБМР 5'!G103</f>
        <v>211003393.5425652</v>
      </c>
      <c r="E40" s="369">
        <f>'[1]ВСРБМР 5'!H103</f>
        <v>191463554.63956517</v>
      </c>
      <c r="F40" s="369">
        <f>'[1]ВСРБМР 5'!I103</f>
        <v>223989305.63956517</v>
      </c>
    </row>
    <row r="41" spans="1:6" ht="15.75" x14ac:dyDescent="0.25">
      <c r="A41" s="366" t="s">
        <v>364</v>
      </c>
      <c r="B41" s="367" t="s">
        <v>336</v>
      </c>
      <c r="C41" s="368" t="s">
        <v>326</v>
      </c>
      <c r="D41" s="369">
        <f>'[1]ВСРБМР 5'!G113</f>
        <v>611982774.90711999</v>
      </c>
      <c r="E41" s="369">
        <f>'[1]ВСРБМР 5'!H113</f>
        <v>587199068.48311996</v>
      </c>
      <c r="F41" s="369">
        <f>'[1]ВСРБМР 5'!I113</f>
        <v>594789725.68711996</v>
      </c>
    </row>
    <row r="42" spans="1:6" ht="15.75" x14ac:dyDescent="0.25">
      <c r="A42" s="362" t="s">
        <v>365</v>
      </c>
      <c r="B42" s="363" t="s">
        <v>336</v>
      </c>
      <c r="C42" s="375" t="s">
        <v>328</v>
      </c>
      <c r="D42" s="365">
        <f>'[1]ВСРБМР 5'!G126</f>
        <v>78764830</v>
      </c>
      <c r="E42" s="365">
        <f>D42</f>
        <v>78764830</v>
      </c>
      <c r="F42" s="365">
        <f>E42</f>
        <v>78764830</v>
      </c>
    </row>
    <row r="43" spans="1:6" ht="15.75" x14ac:dyDescent="0.25">
      <c r="A43" s="366" t="s">
        <v>366</v>
      </c>
      <c r="B43" s="367" t="s">
        <v>336</v>
      </c>
      <c r="C43" s="368" t="s">
        <v>336</v>
      </c>
      <c r="D43" s="369">
        <f>'[1]ВСРБМР 5'!G136</f>
        <v>0</v>
      </c>
      <c r="E43" s="369">
        <f>'[1]ВСРБМР 5'!H136</f>
        <v>0</v>
      </c>
      <c r="F43" s="369">
        <f>'[1]ВСРБМР 5'!I136</f>
        <v>0</v>
      </c>
    </row>
    <row r="44" spans="1:6" ht="15.75" x14ac:dyDescent="0.25">
      <c r="A44" s="366" t="s">
        <v>367</v>
      </c>
      <c r="B44" s="367" t="s">
        <v>336</v>
      </c>
      <c r="C44" s="368" t="s">
        <v>354</v>
      </c>
      <c r="D44" s="369">
        <f>'[1]ВСРБМР 5'!G139</f>
        <v>9812820.2060400005</v>
      </c>
      <c r="E44" s="369">
        <f>'[1]ВСРБМР 5'!H139</f>
        <v>9812820.2060400005</v>
      </c>
      <c r="F44" s="369">
        <f>'[1]ВСРБМР 5'!I139</f>
        <v>9812820.2060400005</v>
      </c>
    </row>
    <row r="45" spans="1:6" ht="15.75" x14ac:dyDescent="0.25">
      <c r="A45" s="362" t="s">
        <v>368</v>
      </c>
      <c r="B45" s="363" t="s">
        <v>352</v>
      </c>
      <c r="C45" s="364"/>
      <c r="D45" s="365">
        <f>SUM(D46:D47)</f>
        <v>29919012.8116</v>
      </c>
      <c r="E45" s="365">
        <f>SUM(E46:E47)</f>
        <v>29919012.8116</v>
      </c>
      <c r="F45" s="365">
        <f>SUM(F46:F47)</f>
        <v>29919012.8116</v>
      </c>
    </row>
    <row r="46" spans="1:6" ht="15.75" x14ac:dyDescent="0.25">
      <c r="A46" s="366" t="s">
        <v>369</v>
      </c>
      <c r="B46" s="367" t="s">
        <v>352</v>
      </c>
      <c r="C46" s="368" t="s">
        <v>324</v>
      </c>
      <c r="D46" s="369">
        <f>'[1]ВСРБМР 5'!G150</f>
        <v>29919012.8116</v>
      </c>
      <c r="E46" s="369">
        <f>'[1]ВСРБМР 5'!H150</f>
        <v>29919012.8116</v>
      </c>
      <c r="F46" s="369">
        <f>'[1]ВСРБМР 5'!I150</f>
        <v>29919012.8116</v>
      </c>
    </row>
    <row r="47" spans="1:6" ht="15.75" x14ac:dyDescent="0.25">
      <c r="A47" s="366" t="s">
        <v>370</v>
      </c>
      <c r="B47" s="367" t="s">
        <v>352</v>
      </c>
      <c r="C47" s="368" t="s">
        <v>330</v>
      </c>
      <c r="D47" s="369"/>
      <c r="E47" s="374"/>
      <c r="F47" s="383"/>
    </row>
    <row r="48" spans="1:6" ht="15.75" x14ac:dyDescent="0.25">
      <c r="A48" s="362" t="s">
        <v>371</v>
      </c>
      <c r="B48" s="363" t="s">
        <v>43</v>
      </c>
      <c r="C48" s="364"/>
      <c r="D48" s="365">
        <f>SUM(D49:D53)</f>
        <v>6734796</v>
      </c>
      <c r="E48" s="365">
        <f>SUM(E49:E53)</f>
        <v>8008354</v>
      </c>
      <c r="F48" s="365">
        <f>SUM(F49:F53)</f>
        <v>8008354</v>
      </c>
    </row>
    <row r="49" spans="1:6" ht="15.75" x14ac:dyDescent="0.25">
      <c r="A49" s="366" t="s">
        <v>372</v>
      </c>
      <c r="B49" s="367" t="s">
        <v>43</v>
      </c>
      <c r="C49" s="368" t="s">
        <v>324</v>
      </c>
      <c r="D49" s="369">
        <f>'[1]ВСРБМР 5'!G164</f>
        <v>2297796</v>
      </c>
      <c r="E49" s="369">
        <f>'[1]ВСРБМР 5'!H164</f>
        <v>2297796</v>
      </c>
      <c r="F49" s="369">
        <f>'[1]ВСРБМР 5'!I164</f>
        <v>2297796</v>
      </c>
    </row>
    <row r="50" spans="1:6" ht="15.75" x14ac:dyDescent="0.25">
      <c r="A50" s="366" t="s">
        <v>373</v>
      </c>
      <c r="B50" s="367" t="s">
        <v>43</v>
      </c>
      <c r="C50" s="368" t="s">
        <v>326</v>
      </c>
      <c r="D50" s="369"/>
      <c r="E50" s="374"/>
      <c r="F50" s="383"/>
    </row>
    <row r="51" spans="1:6" ht="15.75" x14ac:dyDescent="0.25">
      <c r="A51" s="366" t="s">
        <v>374</v>
      </c>
      <c r="B51" s="367" t="s">
        <v>43</v>
      </c>
      <c r="C51" s="368" t="s">
        <v>328</v>
      </c>
      <c r="D51" s="369">
        <f>'[1]ВСРБМР 5'!G167</f>
        <v>24000</v>
      </c>
      <c r="E51" s="369">
        <f>'[1]ВСРБМР 5'!H167</f>
        <v>24000</v>
      </c>
      <c r="F51" s="369">
        <f>'[1]ВСРБМР 5'!I167</f>
        <v>24000</v>
      </c>
    </row>
    <row r="52" spans="1:6" ht="15.75" x14ac:dyDescent="0.25">
      <c r="A52" s="366" t="s">
        <v>375</v>
      </c>
      <c r="B52" s="367" t="s">
        <v>43</v>
      </c>
      <c r="C52" s="368" t="s">
        <v>330</v>
      </c>
      <c r="D52" s="369">
        <f>'[1]ВСРБМР 5'!G171</f>
        <v>3667000</v>
      </c>
      <c r="E52" s="369">
        <f>'[1]ВСРБМР 5'!H171</f>
        <v>4940558</v>
      </c>
      <c r="F52" s="369">
        <f>'[1]ВСРБМР 5'!I171</f>
        <v>4940558</v>
      </c>
    </row>
    <row r="53" spans="1:6" ht="15.75" x14ac:dyDescent="0.25">
      <c r="A53" s="366" t="s">
        <v>376</v>
      </c>
      <c r="B53" s="367" t="s">
        <v>43</v>
      </c>
      <c r="C53" s="368" t="s">
        <v>334</v>
      </c>
      <c r="D53" s="369">
        <f>'[1]ВСРБМР 5'!G177</f>
        <v>746000</v>
      </c>
      <c r="E53" s="369">
        <f>'[1]ВСРБМР 5'!H177</f>
        <v>746000</v>
      </c>
      <c r="F53" s="369">
        <f>'[1]ВСРБМР 5'!I177</f>
        <v>746000</v>
      </c>
    </row>
    <row r="54" spans="1:6" ht="15.75" x14ac:dyDescent="0.25">
      <c r="A54" s="362" t="s">
        <v>377</v>
      </c>
      <c r="B54" s="363" t="s">
        <v>38</v>
      </c>
      <c r="C54" s="364"/>
      <c r="D54" s="365">
        <f>SUM(D55:D57)</f>
        <v>9077314.3130799998</v>
      </c>
      <c r="E54" s="365">
        <f>SUM(E55:E57)</f>
        <v>8297314.3130800007</v>
      </c>
      <c r="F54" s="365">
        <f>SUM(F55:F57)</f>
        <v>8297314.3130800007</v>
      </c>
    </row>
    <row r="55" spans="1:6" ht="15.75" x14ac:dyDescent="0.25">
      <c r="A55" s="366" t="s">
        <v>45</v>
      </c>
      <c r="B55" s="367" t="s">
        <v>38</v>
      </c>
      <c r="C55" s="368" t="s">
        <v>324</v>
      </c>
      <c r="D55" s="369">
        <f>'[1]ВСРБМР 5'!G184+'[1]ВСРБМР 5'!G182</f>
        <v>7008080.0030000005</v>
      </c>
      <c r="E55" s="369">
        <f>'[1]ВСРБМР 5'!H184+'[1]ВСРБМР 5'!H182</f>
        <v>6978080.0030000005</v>
      </c>
      <c r="F55" s="369">
        <f>'[1]ВСРБМР 5'!I184+'[1]ВСРБМР 5'!I182</f>
        <v>6978080.0030000005</v>
      </c>
    </row>
    <row r="56" spans="1:6" ht="15.75" x14ac:dyDescent="0.25">
      <c r="A56" s="366" t="s">
        <v>378</v>
      </c>
      <c r="B56" s="367" t="s">
        <v>38</v>
      </c>
      <c r="C56" s="368" t="s">
        <v>326</v>
      </c>
      <c r="D56" s="369"/>
      <c r="E56" s="374"/>
      <c r="F56" s="383"/>
    </row>
    <row r="57" spans="1:6" ht="15.75" x14ac:dyDescent="0.25">
      <c r="A57" s="366" t="s">
        <v>379</v>
      </c>
      <c r="B57" s="367" t="s">
        <v>38</v>
      </c>
      <c r="C57" s="368" t="s">
        <v>332</v>
      </c>
      <c r="D57" s="369">
        <f>'[1]ВСРБМР 5'!G189</f>
        <v>2069234.31008</v>
      </c>
      <c r="E57" s="369">
        <f>'[1]ВСРБМР 5'!H189</f>
        <v>1319234.31008</v>
      </c>
      <c r="F57" s="369">
        <f>'[1]ВСРБМР 5'!I189</f>
        <v>1319234.31008</v>
      </c>
    </row>
    <row r="58" spans="1:6" ht="15.75" x14ac:dyDescent="0.25">
      <c r="A58" s="362" t="s">
        <v>380</v>
      </c>
      <c r="B58" s="363" t="s">
        <v>356</v>
      </c>
      <c r="C58" s="364"/>
      <c r="D58" s="365">
        <f>SUM(D59:D60)</f>
        <v>6733201.5577999987</v>
      </c>
      <c r="E58" s="365">
        <f>SUM(E59:E60)</f>
        <v>6733201.5577999987</v>
      </c>
      <c r="F58" s="365">
        <f>SUM(F59:F60)</f>
        <v>6629803.3927999996</v>
      </c>
    </row>
    <row r="59" spans="1:6" ht="15.75" x14ac:dyDescent="0.25">
      <c r="A59" s="366" t="s">
        <v>381</v>
      </c>
      <c r="B59" s="367" t="s">
        <v>356</v>
      </c>
      <c r="C59" s="373" t="s">
        <v>324</v>
      </c>
      <c r="D59" s="369">
        <f>'[1]ВСРБМР 5'!G196</f>
        <v>2327895.0288</v>
      </c>
      <c r="E59" s="369">
        <f>'[1]ВСРБМР 5'!H196</f>
        <v>2327895.0288</v>
      </c>
      <c r="F59" s="369">
        <f>'[1]ВСРБМР 5'!I196</f>
        <v>2327895.0288</v>
      </c>
    </row>
    <row r="60" spans="1:6" ht="15.75" x14ac:dyDescent="0.25">
      <c r="A60" s="366" t="s">
        <v>381</v>
      </c>
      <c r="B60" s="367">
        <v>12</v>
      </c>
      <c r="C60" s="373" t="s">
        <v>326</v>
      </c>
      <c r="D60" s="369">
        <f>'[1]ВСРБМР 5'!G201</f>
        <v>4405306.5289999992</v>
      </c>
      <c r="E60" s="369">
        <f>'[1]ВСРБМР 5'!H201</f>
        <v>4405306.5289999992</v>
      </c>
      <c r="F60" s="369">
        <f>'[1]ВСРБМР 5'!I201</f>
        <v>4301908.3640000001</v>
      </c>
    </row>
    <row r="61" spans="1:6" ht="31.5" x14ac:dyDescent="0.25">
      <c r="A61" s="376" t="s">
        <v>382</v>
      </c>
      <c r="B61" s="363">
        <v>13</v>
      </c>
      <c r="C61" s="373"/>
      <c r="D61" s="365">
        <f>SUM(D62)</f>
        <v>11500</v>
      </c>
      <c r="E61" s="365">
        <f>SUM(E62)</f>
        <v>11500</v>
      </c>
      <c r="F61" s="365">
        <f>SUM(F62)</f>
        <v>7700</v>
      </c>
    </row>
    <row r="62" spans="1:6" ht="15.75" x14ac:dyDescent="0.25">
      <c r="A62" s="377" t="s">
        <v>383</v>
      </c>
      <c r="B62" s="367">
        <v>13</v>
      </c>
      <c r="C62" s="373" t="s">
        <v>324</v>
      </c>
      <c r="D62" s="369">
        <f>'[1]ВСРБМР 5'!G205</f>
        <v>11500</v>
      </c>
      <c r="E62" s="369">
        <f>'[1]ВСРБМР 5'!H205</f>
        <v>11500</v>
      </c>
      <c r="F62" s="369">
        <f>'[1]ВСРБМР 5'!I205</f>
        <v>7700</v>
      </c>
    </row>
    <row r="63" spans="1:6" ht="63" x14ac:dyDescent="0.25">
      <c r="A63" s="362" t="s">
        <v>384</v>
      </c>
      <c r="B63" s="363" t="s">
        <v>347</v>
      </c>
      <c r="C63" s="364"/>
      <c r="D63" s="365">
        <f>SUM(D64:D65)</f>
        <v>122507999.52118102</v>
      </c>
      <c r="E63" s="365">
        <f>SUM(E64:E65)</f>
        <v>88205999.521181002</v>
      </c>
      <c r="F63" s="365">
        <f>SUM(F64:F65)</f>
        <v>82662999.521181002</v>
      </c>
    </row>
    <row r="64" spans="1:6" ht="47.25" x14ac:dyDescent="0.25">
      <c r="A64" s="366" t="s">
        <v>385</v>
      </c>
      <c r="B64" s="367" t="s">
        <v>347</v>
      </c>
      <c r="C64" s="368" t="s">
        <v>324</v>
      </c>
      <c r="D64" s="369">
        <f>'[1]ВСРБМР 5'!G207</f>
        <v>101126000.00000001</v>
      </c>
      <c r="E64" s="369">
        <f>'[1]ВСРБМР 5'!H207</f>
        <v>65898000</v>
      </c>
      <c r="F64" s="369">
        <f>'[1]ВСРБМР 5'!I207</f>
        <v>62603000</v>
      </c>
    </row>
    <row r="65" spans="1:9" ht="15.75" x14ac:dyDescent="0.25">
      <c r="A65" s="366" t="s">
        <v>386</v>
      </c>
      <c r="B65" s="372" t="s">
        <v>347</v>
      </c>
      <c r="C65" s="373" t="s">
        <v>328</v>
      </c>
      <c r="D65" s="369">
        <f>'[1]ВСРБМР 5'!G210</f>
        <v>21381999.521181002</v>
      </c>
      <c r="E65" s="369">
        <f>'[1]ВСРБМР 5'!H210</f>
        <v>22307999.521181002</v>
      </c>
      <c r="F65" s="369">
        <f>'[1]ВСРБМР 5'!I210</f>
        <v>20059999.521181002</v>
      </c>
    </row>
    <row r="66" spans="1:9" ht="15.75" x14ac:dyDescent="0.25">
      <c r="A66" s="507" t="s">
        <v>387</v>
      </c>
      <c r="B66" s="508"/>
      <c r="C66" s="509"/>
      <c r="D66" s="365">
        <f>SUM(D12,D21,D23,D28,D34,D39,D45,D48,D54,D58,D61,D63)</f>
        <v>1185874106.0457861</v>
      </c>
      <c r="E66" s="365">
        <f>SUM(E12,E21,E23,E28,E34,E39,E45,E48,E54,E58,E61,E63)+1</f>
        <v>1104432086.7187862</v>
      </c>
      <c r="F66" s="365">
        <f>SUM(F12,F21,F23,F28,F34,F39,F45,F48,F54,F58,F61,F63)+1</f>
        <v>1107435996.7577863</v>
      </c>
      <c r="I66" t="s">
        <v>0</v>
      </c>
    </row>
    <row r="68" spans="1:9" x14ac:dyDescent="0.25">
      <c r="D68" s="1">
        <f>'[1]ВСРБМР 5'!G217-'[1]РазПодр №4'!D66</f>
        <v>0</v>
      </c>
    </row>
  </sheetData>
  <mergeCells count="7">
    <mergeCell ref="A8:F8"/>
    <mergeCell ref="A66:C66"/>
    <mergeCell ref="B2:F2"/>
    <mergeCell ref="B3:F3"/>
    <mergeCell ref="B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321"/>
  <sheetViews>
    <sheetView workbookViewId="0">
      <selection activeCell="G4" sqref="G4:I4"/>
    </sheetView>
  </sheetViews>
  <sheetFormatPr defaultColWidth="8.7109375" defaultRowHeight="12.75" x14ac:dyDescent="0.2"/>
  <cols>
    <col min="1" max="1" width="42.85546875" style="161" customWidth="1"/>
    <col min="2" max="2" width="5.85546875" style="161" customWidth="1"/>
    <col min="3" max="3" width="5" style="161" customWidth="1"/>
    <col min="4" max="4" width="6.42578125" style="161" customWidth="1"/>
    <col min="5" max="5" width="12.85546875" style="161" customWidth="1"/>
    <col min="6" max="6" width="6.140625" style="161" customWidth="1"/>
    <col min="7" max="7" width="13" style="161" customWidth="1"/>
    <col min="8" max="8" width="12.5703125" style="161" customWidth="1"/>
    <col min="9" max="9" width="13.42578125" style="161" customWidth="1"/>
    <col min="10" max="10" width="10" style="161" bestFit="1" customWidth="1"/>
    <col min="11" max="16384" width="8.7109375" style="161"/>
  </cols>
  <sheetData>
    <row r="1" spans="1:196" s="166" customFormat="1" ht="15" x14ac:dyDescent="0.25"/>
    <row r="2" spans="1:196" ht="15" customHeight="1" x14ac:dyDescent="0.25">
      <c r="B2" s="348"/>
      <c r="C2" s="348"/>
      <c r="D2" s="348"/>
      <c r="E2" s="348"/>
      <c r="F2" s="348"/>
      <c r="G2" s="512" t="s">
        <v>594</v>
      </c>
      <c r="H2" s="512"/>
      <c r="I2" s="512"/>
    </row>
    <row r="3" spans="1:196" ht="15.75" x14ac:dyDescent="0.25">
      <c r="B3" s="348"/>
      <c r="C3" s="348"/>
      <c r="D3" s="348"/>
      <c r="E3" s="348"/>
      <c r="F3" s="348"/>
      <c r="G3" s="512" t="s">
        <v>571</v>
      </c>
      <c r="H3" s="512"/>
      <c r="I3" s="512"/>
    </row>
    <row r="4" spans="1:196" ht="15.75" x14ac:dyDescent="0.25">
      <c r="B4" s="348"/>
      <c r="C4" s="348"/>
      <c r="D4" s="348"/>
      <c r="E4" s="348"/>
      <c r="F4" s="348"/>
      <c r="G4" s="512" t="s">
        <v>623</v>
      </c>
      <c r="H4" s="512"/>
      <c r="I4" s="51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1:196" ht="15.75" x14ac:dyDescent="0.25">
      <c r="B5" s="348"/>
      <c r="C5" s="348"/>
      <c r="D5" s="348"/>
      <c r="E5" s="348"/>
      <c r="F5" s="348"/>
      <c r="G5" s="349"/>
      <c r="H5" s="349"/>
      <c r="I5" s="349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</row>
    <row r="6" spans="1:196" x14ac:dyDescent="0.2">
      <c r="A6" s="510" t="s">
        <v>388</v>
      </c>
      <c r="B6" s="510"/>
      <c r="C6" s="510"/>
      <c r="D6" s="510"/>
      <c r="E6" s="510"/>
      <c r="F6" s="510"/>
      <c r="G6" s="510"/>
      <c r="H6" s="510"/>
      <c r="I6" s="510"/>
    </row>
    <row r="7" spans="1:196" x14ac:dyDescent="0.2">
      <c r="A7" s="510" t="s">
        <v>389</v>
      </c>
      <c r="B7" s="510"/>
      <c r="C7" s="510"/>
      <c r="D7" s="510"/>
      <c r="E7" s="510"/>
      <c r="F7" s="510"/>
      <c r="G7" s="510"/>
      <c r="H7" s="510"/>
      <c r="I7" s="510"/>
    </row>
    <row r="8" spans="1:196" x14ac:dyDescent="0.2">
      <c r="A8" s="511" t="s">
        <v>390</v>
      </c>
      <c r="B8" s="511"/>
      <c r="C8" s="511"/>
      <c r="D8" s="511"/>
      <c r="E8" s="511"/>
      <c r="F8" s="511"/>
      <c r="G8" s="511"/>
      <c r="H8" s="511"/>
      <c r="I8" s="511"/>
    </row>
    <row r="9" spans="1:196" s="274" customFormat="1" x14ac:dyDescent="0.2">
      <c r="A9" s="162"/>
      <c r="B9" s="271"/>
      <c r="C9" s="272"/>
      <c r="D9" s="271"/>
      <c r="E9" s="271"/>
      <c r="F9" s="271"/>
      <c r="G9" s="273"/>
    </row>
    <row r="10" spans="1:196" ht="38.25" x14ac:dyDescent="0.2">
      <c r="A10" s="262" t="s">
        <v>35</v>
      </c>
      <c r="B10" s="262" t="s">
        <v>391</v>
      </c>
      <c r="C10" s="262" t="s">
        <v>392</v>
      </c>
      <c r="D10" s="262" t="s">
        <v>393</v>
      </c>
      <c r="E10" s="262" t="s">
        <v>394</v>
      </c>
      <c r="F10" s="262" t="s">
        <v>395</v>
      </c>
      <c r="G10" s="384" t="s">
        <v>588</v>
      </c>
      <c r="H10" s="384" t="s">
        <v>589</v>
      </c>
      <c r="I10" s="384" t="s">
        <v>590</v>
      </c>
    </row>
    <row r="11" spans="1:196" x14ac:dyDescent="0.2">
      <c r="A11" s="275">
        <v>1</v>
      </c>
      <c r="B11" s="275" t="s">
        <v>36</v>
      </c>
      <c r="C11" s="276">
        <v>3</v>
      </c>
      <c r="D11" s="276">
        <v>4</v>
      </c>
      <c r="E11" s="276">
        <v>5</v>
      </c>
      <c r="F11" s="276">
        <v>6</v>
      </c>
      <c r="G11" s="277">
        <v>7</v>
      </c>
      <c r="H11" s="276">
        <v>8</v>
      </c>
      <c r="I11" s="277">
        <v>9</v>
      </c>
    </row>
    <row r="12" spans="1:196" x14ac:dyDescent="0.2">
      <c r="A12" s="278" t="s">
        <v>396</v>
      </c>
      <c r="B12" s="279" t="s">
        <v>397</v>
      </c>
      <c r="C12" s="276"/>
      <c r="D12" s="276"/>
      <c r="E12" s="276"/>
      <c r="F12" s="276"/>
      <c r="G12" s="277" t="s">
        <v>0</v>
      </c>
      <c r="H12" s="280"/>
      <c r="I12" s="280"/>
    </row>
    <row r="13" spans="1:196" x14ac:dyDescent="0.2">
      <c r="A13" s="281" t="s">
        <v>37</v>
      </c>
      <c r="B13" s="282" t="s">
        <v>397</v>
      </c>
      <c r="C13" s="283" t="s">
        <v>324</v>
      </c>
      <c r="D13" s="282" t="s">
        <v>398</v>
      </c>
      <c r="E13" s="282"/>
      <c r="F13" s="284"/>
      <c r="G13" s="285">
        <f>SUM(G14,G18,G22,G27,G29,G39,G42)</f>
        <v>41462688.933919996</v>
      </c>
      <c r="H13" s="285">
        <f>SUM(H14,H18,H22,H27,H29,H39,H46)</f>
        <v>31152805.33904</v>
      </c>
      <c r="I13" s="285">
        <f>SUM(I14,I18,I22,I27,I29,I39,I46)</f>
        <v>31152505.33904</v>
      </c>
    </row>
    <row r="14" spans="1:196" ht="25.5" x14ac:dyDescent="0.2">
      <c r="A14" s="281" t="s">
        <v>399</v>
      </c>
      <c r="B14" s="282" t="s">
        <v>397</v>
      </c>
      <c r="C14" s="283" t="s">
        <v>324</v>
      </c>
      <c r="D14" s="282" t="s">
        <v>326</v>
      </c>
      <c r="E14" s="286"/>
      <c r="F14" s="287"/>
      <c r="G14" s="285">
        <f>SUM(G15)</f>
        <v>1865603.0876800001</v>
      </c>
      <c r="H14" s="285">
        <f>SUM(H15)</f>
        <v>1865603.0876800001</v>
      </c>
      <c r="I14" s="285">
        <f>SUM(I15)</f>
        <v>1865603.0876800001</v>
      </c>
    </row>
    <row r="15" spans="1:196" x14ac:dyDescent="0.2">
      <c r="A15" s="278" t="s">
        <v>400</v>
      </c>
      <c r="B15" s="282" t="s">
        <v>397</v>
      </c>
      <c r="C15" s="283" t="s">
        <v>324</v>
      </c>
      <c r="D15" s="282" t="s">
        <v>326</v>
      </c>
      <c r="E15" s="282" t="s">
        <v>401</v>
      </c>
      <c r="F15" s="283" t="s">
        <v>402</v>
      </c>
      <c r="G15" s="285">
        <f>SUM(G16:G17)</f>
        <v>1865603.0876800001</v>
      </c>
      <c r="H15" s="285">
        <f>SUM(H16:H17)</f>
        <v>1865603.0876800001</v>
      </c>
      <c r="I15" s="285">
        <f>SUM(I16:I17)</f>
        <v>1865603.0876800001</v>
      </c>
    </row>
    <row r="16" spans="1:196" ht="25.5" x14ac:dyDescent="0.2">
      <c r="A16" s="288" t="s">
        <v>403</v>
      </c>
      <c r="B16" s="286"/>
      <c r="C16" s="289" t="s">
        <v>324</v>
      </c>
      <c r="D16" s="286" t="s">
        <v>326</v>
      </c>
      <c r="E16" s="286" t="s">
        <v>401</v>
      </c>
      <c r="F16" s="287">
        <v>120</v>
      </c>
      <c r="G16" s="290">
        <f>'[1]Аппарат свод'!AK7</f>
        <v>1573780.29128</v>
      </c>
      <c r="H16" s="280">
        <f>G16</f>
        <v>1573780.29128</v>
      </c>
      <c r="I16" s="280">
        <f>G16</f>
        <v>1573780.29128</v>
      </c>
    </row>
    <row r="17" spans="1:13" ht="25.5" x14ac:dyDescent="0.2">
      <c r="A17" s="288" t="s">
        <v>404</v>
      </c>
      <c r="B17" s="286"/>
      <c r="C17" s="289" t="s">
        <v>324</v>
      </c>
      <c r="D17" s="286" t="s">
        <v>326</v>
      </c>
      <c r="E17" s="286" t="s">
        <v>401</v>
      </c>
      <c r="F17" s="287">
        <v>240</v>
      </c>
      <c r="G17" s="290">
        <f>'[1]Аппарат свод'!AL7</f>
        <v>291822.79640000011</v>
      </c>
      <c r="H17" s="280">
        <f>G17</f>
        <v>291822.79640000011</v>
      </c>
      <c r="I17" s="280">
        <f>G17</f>
        <v>291822.79640000011</v>
      </c>
      <c r="K17" s="161" t="s">
        <v>0</v>
      </c>
    </row>
    <row r="18" spans="1:13" ht="25.5" x14ac:dyDescent="0.2">
      <c r="A18" s="281" t="s">
        <v>405</v>
      </c>
      <c r="B18" s="282" t="s">
        <v>397</v>
      </c>
      <c r="C18" s="283" t="s">
        <v>324</v>
      </c>
      <c r="D18" s="282" t="s">
        <v>328</v>
      </c>
      <c r="E18" s="286"/>
      <c r="F18" s="287"/>
      <c r="G18" s="285">
        <f>G19</f>
        <v>2065424.3235199999</v>
      </c>
      <c r="H18" s="280">
        <f>G18</f>
        <v>2065424.3235199999</v>
      </c>
      <c r="I18" s="280">
        <f>G18</f>
        <v>2065424.3235199999</v>
      </c>
    </row>
    <row r="19" spans="1:13" x14ac:dyDescent="0.2">
      <c r="A19" s="278" t="s">
        <v>406</v>
      </c>
      <c r="B19" s="282" t="s">
        <v>397</v>
      </c>
      <c r="C19" s="283" t="s">
        <v>324</v>
      </c>
      <c r="D19" s="282" t="s">
        <v>328</v>
      </c>
      <c r="E19" s="282" t="s">
        <v>407</v>
      </c>
      <c r="F19" s="283" t="s">
        <v>402</v>
      </c>
      <c r="G19" s="285">
        <f>SUM(G20:G21)</f>
        <v>2065424.3235199999</v>
      </c>
      <c r="H19" s="285">
        <f>SUM(H20:H21)</f>
        <v>2065424.3235199999</v>
      </c>
      <c r="I19" s="285">
        <f>SUM(I20:I21)</f>
        <v>2065424.3235199999</v>
      </c>
    </row>
    <row r="20" spans="1:13" ht="25.5" x14ac:dyDescent="0.2">
      <c r="A20" s="288" t="s">
        <v>403</v>
      </c>
      <c r="B20" s="286"/>
      <c r="C20" s="289" t="s">
        <v>324</v>
      </c>
      <c r="D20" s="286" t="s">
        <v>328</v>
      </c>
      <c r="E20" s="286" t="s">
        <v>407</v>
      </c>
      <c r="F20" s="287">
        <v>120</v>
      </c>
      <c r="G20" s="290">
        <f>'[1]Аппарат свод'!AK9</f>
        <v>2005253.4064199999</v>
      </c>
      <c r="H20" s="280">
        <f>G20</f>
        <v>2005253.4064199999</v>
      </c>
      <c r="I20" s="280">
        <f>H20</f>
        <v>2005253.4064199999</v>
      </c>
    </row>
    <row r="21" spans="1:13" ht="25.5" x14ac:dyDescent="0.2">
      <c r="A21" s="288" t="s">
        <v>404</v>
      </c>
      <c r="B21" s="286"/>
      <c r="C21" s="289" t="s">
        <v>324</v>
      </c>
      <c r="D21" s="286" t="s">
        <v>328</v>
      </c>
      <c r="E21" s="286" t="s">
        <v>407</v>
      </c>
      <c r="F21" s="287">
        <v>240</v>
      </c>
      <c r="G21" s="290">
        <f>'[1]Аппарат свод'!AL9</f>
        <v>60170.917099999962</v>
      </c>
      <c r="H21" s="280">
        <f>G21</f>
        <v>60170.917099999962</v>
      </c>
      <c r="I21" s="280">
        <f>H21</f>
        <v>60170.917099999962</v>
      </c>
    </row>
    <row r="22" spans="1:13" ht="25.5" x14ac:dyDescent="0.2">
      <c r="A22" s="281" t="s">
        <v>408</v>
      </c>
      <c r="B22" s="286" t="s">
        <v>397</v>
      </c>
      <c r="C22" s="283" t="s">
        <v>324</v>
      </c>
      <c r="D22" s="282" t="s">
        <v>330</v>
      </c>
      <c r="E22" s="282"/>
      <c r="F22" s="284"/>
      <c r="G22" s="285">
        <f>G23</f>
        <v>15380982.457759999</v>
      </c>
      <c r="H22" s="285">
        <f>H23</f>
        <v>15380982.457759999</v>
      </c>
      <c r="I22" s="285">
        <f>I23</f>
        <v>15380982.457759999</v>
      </c>
      <c r="K22" s="161" t="s">
        <v>0</v>
      </c>
    </row>
    <row r="23" spans="1:13" x14ac:dyDescent="0.2">
      <c r="A23" s="278" t="s">
        <v>409</v>
      </c>
      <c r="B23" s="282" t="s">
        <v>397</v>
      </c>
      <c r="C23" s="283" t="s">
        <v>324</v>
      </c>
      <c r="D23" s="282" t="s">
        <v>330</v>
      </c>
      <c r="E23" s="282" t="s">
        <v>410</v>
      </c>
      <c r="F23" s="283" t="s">
        <v>402</v>
      </c>
      <c r="G23" s="285">
        <f>SUM(G24:G26)</f>
        <v>15380982.457759999</v>
      </c>
      <c r="H23" s="285">
        <f>SUM(H24:H26)</f>
        <v>15380982.457759999</v>
      </c>
      <c r="I23" s="285">
        <f>SUM(I24:I26)</f>
        <v>15380982.457759999</v>
      </c>
    </row>
    <row r="24" spans="1:13" ht="25.5" x14ac:dyDescent="0.2">
      <c r="A24" s="288" t="s">
        <v>403</v>
      </c>
      <c r="B24" s="286"/>
      <c r="C24" s="289" t="s">
        <v>324</v>
      </c>
      <c r="D24" s="286" t="s">
        <v>330</v>
      </c>
      <c r="E24" s="286" t="s">
        <v>410</v>
      </c>
      <c r="F24" s="287">
        <v>120</v>
      </c>
      <c r="G24" s="290">
        <f>'[1]Аппарат свод'!AK34</f>
        <v>10725215.05696</v>
      </c>
      <c r="H24" s="280">
        <f t="shared" ref="H24:I26" si="0">G24</f>
        <v>10725215.05696</v>
      </c>
      <c r="I24" s="280">
        <f t="shared" si="0"/>
        <v>10725215.05696</v>
      </c>
    </row>
    <row r="25" spans="1:13" ht="25.5" x14ac:dyDescent="0.2">
      <c r="A25" s="288" t="s">
        <v>404</v>
      </c>
      <c r="B25" s="286"/>
      <c r="C25" s="289" t="s">
        <v>324</v>
      </c>
      <c r="D25" s="286" t="s">
        <v>330</v>
      </c>
      <c r="E25" s="286" t="s">
        <v>410</v>
      </c>
      <c r="F25" s="287">
        <v>240</v>
      </c>
      <c r="G25" s="290">
        <f>'[1]Аппарат свод'!AL34</f>
        <v>4258454.1647999994</v>
      </c>
      <c r="H25" s="280">
        <f t="shared" si="0"/>
        <v>4258454.1647999994</v>
      </c>
      <c r="I25" s="280">
        <f t="shared" si="0"/>
        <v>4258454.1647999994</v>
      </c>
    </row>
    <row r="26" spans="1:13" x14ac:dyDescent="0.2">
      <c r="A26" s="288" t="s">
        <v>411</v>
      </c>
      <c r="B26" s="286"/>
      <c r="C26" s="289" t="s">
        <v>324</v>
      </c>
      <c r="D26" s="286" t="s">
        <v>330</v>
      </c>
      <c r="E26" s="286" t="s">
        <v>410</v>
      </c>
      <c r="F26" s="287">
        <v>850</v>
      </c>
      <c r="G26" s="290">
        <f>'[1]Аппарат свод'!AM34</f>
        <v>397313.23600000003</v>
      </c>
      <c r="H26" s="280">
        <f t="shared" si="0"/>
        <v>397313.23600000003</v>
      </c>
      <c r="I26" s="280">
        <f t="shared" si="0"/>
        <v>397313.23600000003</v>
      </c>
    </row>
    <row r="27" spans="1:13" ht="25.5" x14ac:dyDescent="0.2">
      <c r="A27" s="281" t="s">
        <v>331</v>
      </c>
      <c r="B27" s="282" t="s">
        <v>397</v>
      </c>
      <c r="C27" s="283" t="s">
        <v>324</v>
      </c>
      <c r="D27" s="282" t="s">
        <v>332</v>
      </c>
      <c r="E27" s="282" t="s">
        <v>412</v>
      </c>
      <c r="F27" s="289" t="s">
        <v>402</v>
      </c>
      <c r="G27" s="285">
        <f>G28</f>
        <v>61200</v>
      </c>
      <c r="H27" s="285">
        <f>H28</f>
        <v>2650</v>
      </c>
      <c r="I27" s="285">
        <f>I28</f>
        <v>2350</v>
      </c>
    </row>
    <row r="28" spans="1:13" ht="25.5" x14ac:dyDescent="0.2">
      <c r="A28" s="288" t="s">
        <v>404</v>
      </c>
      <c r="B28" s="286"/>
      <c r="C28" s="289" t="s">
        <v>324</v>
      </c>
      <c r="D28" s="286" t="s">
        <v>332</v>
      </c>
      <c r="E28" s="286" t="s">
        <v>412</v>
      </c>
      <c r="F28" s="287">
        <v>240</v>
      </c>
      <c r="G28" s="290">
        <f>'[1]Аппарат свод'!AR15</f>
        <v>61200</v>
      </c>
      <c r="H28" s="280">
        <f>'[1]Доходы №1'!F56*1000</f>
        <v>2650</v>
      </c>
      <c r="I28" s="280">
        <f>'[1]Доходы №1'!G56*1000</f>
        <v>2350</v>
      </c>
      <c r="M28" s="161" t="s">
        <v>0</v>
      </c>
    </row>
    <row r="29" spans="1:13" ht="25.5" x14ac:dyDescent="0.2">
      <c r="A29" s="281" t="s">
        <v>413</v>
      </c>
      <c r="B29" s="286"/>
      <c r="C29" s="283" t="s">
        <v>324</v>
      </c>
      <c r="D29" s="282" t="s">
        <v>334</v>
      </c>
      <c r="E29" s="282"/>
      <c r="F29" s="284"/>
      <c r="G29" s="285">
        <f>SUM(G31,G35)</f>
        <v>7593270.7257599998</v>
      </c>
      <c r="H29" s="285">
        <f>SUM(H31,H35)</f>
        <v>7583270.7257599998</v>
      </c>
      <c r="I29" s="285">
        <f>SUM(I31,I35)</f>
        <v>7583270.7257599998</v>
      </c>
    </row>
    <row r="30" spans="1:13" ht="25.5" x14ac:dyDescent="0.2">
      <c r="A30" s="278" t="s">
        <v>414</v>
      </c>
      <c r="B30" s="282" t="s">
        <v>415</v>
      </c>
      <c r="C30" s="283"/>
      <c r="D30" s="282"/>
      <c r="E30" s="282"/>
      <c r="F30" s="284"/>
      <c r="G30" s="285"/>
      <c r="H30" s="280"/>
      <c r="I30" s="280"/>
    </row>
    <row r="31" spans="1:13" x14ac:dyDescent="0.2">
      <c r="A31" s="278" t="s">
        <v>416</v>
      </c>
      <c r="B31" s="282" t="s">
        <v>415</v>
      </c>
      <c r="C31" s="283" t="s">
        <v>324</v>
      </c>
      <c r="D31" s="282" t="s">
        <v>334</v>
      </c>
      <c r="E31" s="282" t="s">
        <v>410</v>
      </c>
      <c r="F31" s="283" t="s">
        <v>402</v>
      </c>
      <c r="G31" s="285">
        <f>SUM(G32:G34)</f>
        <v>5718139.6192000005</v>
      </c>
      <c r="H31" s="285">
        <f>SUM(H32:H34)</f>
        <v>5718139.6192000005</v>
      </c>
      <c r="I31" s="285">
        <f>SUM(I32:I34)</f>
        <v>5718139.6192000005</v>
      </c>
    </row>
    <row r="32" spans="1:13" ht="25.5" x14ac:dyDescent="0.2">
      <c r="A32" s="288" t="s">
        <v>403</v>
      </c>
      <c r="B32" s="286"/>
      <c r="C32" s="289" t="s">
        <v>324</v>
      </c>
      <c r="D32" s="286" t="s">
        <v>334</v>
      </c>
      <c r="E32" s="286" t="s">
        <v>410</v>
      </c>
      <c r="F32" s="287">
        <v>120</v>
      </c>
      <c r="G32" s="290">
        <f>'[1]ФУ АМР'!AC7</f>
        <v>5174129.5657000002</v>
      </c>
      <c r="H32" s="280">
        <f t="shared" ref="H32:I34" si="1">G32</f>
        <v>5174129.5657000002</v>
      </c>
      <c r="I32" s="280">
        <f t="shared" si="1"/>
        <v>5174129.5657000002</v>
      </c>
    </row>
    <row r="33" spans="1:9" ht="25.5" x14ac:dyDescent="0.2">
      <c r="A33" s="288" t="s">
        <v>404</v>
      </c>
      <c r="B33" s="286"/>
      <c r="C33" s="289" t="s">
        <v>324</v>
      </c>
      <c r="D33" s="286" t="s">
        <v>334</v>
      </c>
      <c r="E33" s="286" t="s">
        <v>410</v>
      </c>
      <c r="F33" s="287">
        <v>240</v>
      </c>
      <c r="G33" s="290">
        <f>'[1]ФУ АМР'!AD7</f>
        <v>544010.05350000039</v>
      </c>
      <c r="H33" s="280">
        <f t="shared" si="1"/>
        <v>544010.05350000039</v>
      </c>
      <c r="I33" s="280">
        <f t="shared" si="1"/>
        <v>544010.05350000039</v>
      </c>
    </row>
    <row r="34" spans="1:9" x14ac:dyDescent="0.2">
      <c r="A34" s="288" t="s">
        <v>411</v>
      </c>
      <c r="B34" s="286"/>
      <c r="C34" s="289" t="s">
        <v>324</v>
      </c>
      <c r="D34" s="286" t="s">
        <v>334</v>
      </c>
      <c r="E34" s="286" t="s">
        <v>410</v>
      </c>
      <c r="F34" s="287">
        <v>850</v>
      </c>
      <c r="G34" s="290">
        <f>'[1]ФУ АМР'!AE7</f>
        <v>0</v>
      </c>
      <c r="H34" s="280">
        <f t="shared" si="1"/>
        <v>0</v>
      </c>
      <c r="I34" s="280">
        <f t="shared" si="1"/>
        <v>0</v>
      </c>
    </row>
    <row r="35" spans="1:9" ht="25.5" x14ac:dyDescent="0.2">
      <c r="A35" s="281" t="s">
        <v>417</v>
      </c>
      <c r="B35" s="282" t="s">
        <v>397</v>
      </c>
      <c r="C35" s="283" t="s">
        <v>324</v>
      </c>
      <c r="D35" s="282" t="s">
        <v>334</v>
      </c>
      <c r="E35" s="282" t="s">
        <v>418</v>
      </c>
      <c r="F35" s="283" t="s">
        <v>402</v>
      </c>
      <c r="G35" s="285">
        <f>SUM(G36:G38)</f>
        <v>1875131.1065599998</v>
      </c>
      <c r="H35" s="285">
        <f>SUM(H36:H37)</f>
        <v>1865131.1065599998</v>
      </c>
      <c r="I35" s="285">
        <f>SUM(I36:I37)</f>
        <v>1865131.1065599998</v>
      </c>
    </row>
    <row r="36" spans="1:9" ht="25.5" x14ac:dyDescent="0.2">
      <c r="A36" s="288" t="s">
        <v>403</v>
      </c>
      <c r="B36" s="286"/>
      <c r="C36" s="289" t="s">
        <v>324</v>
      </c>
      <c r="D36" s="286" t="s">
        <v>334</v>
      </c>
      <c r="E36" s="286" t="s">
        <v>418</v>
      </c>
      <c r="F36" s="287">
        <v>120</v>
      </c>
      <c r="G36" s="290">
        <f>'[1]Аппарат свод'!AK12</f>
        <v>1694462.0127599998</v>
      </c>
      <c r="H36" s="280">
        <f>G36</f>
        <v>1694462.0127599998</v>
      </c>
      <c r="I36" s="280">
        <f>H36</f>
        <v>1694462.0127599998</v>
      </c>
    </row>
    <row r="37" spans="1:9" ht="25.5" x14ac:dyDescent="0.2">
      <c r="A37" s="288" t="s">
        <v>404</v>
      </c>
      <c r="B37" s="286"/>
      <c r="C37" s="289" t="s">
        <v>324</v>
      </c>
      <c r="D37" s="286" t="s">
        <v>334</v>
      </c>
      <c r="E37" s="286" t="s">
        <v>418</v>
      </c>
      <c r="F37" s="287">
        <v>240</v>
      </c>
      <c r="G37" s="290">
        <f>'[1]Аппарат свод'!AL12</f>
        <v>170669.09379999992</v>
      </c>
      <c r="H37" s="280">
        <f>G37</f>
        <v>170669.09379999992</v>
      </c>
      <c r="I37" s="280">
        <f>H37</f>
        <v>170669.09379999992</v>
      </c>
    </row>
    <row r="38" spans="1:9" x14ac:dyDescent="0.2">
      <c r="A38" s="288"/>
      <c r="B38" s="286"/>
      <c r="C38" s="289" t="s">
        <v>324</v>
      </c>
      <c r="D38" s="286" t="s">
        <v>334</v>
      </c>
      <c r="E38" s="286" t="s">
        <v>418</v>
      </c>
      <c r="F38" s="287">
        <v>850</v>
      </c>
      <c r="G38" s="290">
        <f>'[1]Аппарат свод'!AM12</f>
        <v>10000</v>
      </c>
      <c r="H38" s="280"/>
      <c r="I38" s="280"/>
    </row>
    <row r="39" spans="1:9" x14ac:dyDescent="0.2">
      <c r="A39" s="281" t="s">
        <v>337</v>
      </c>
      <c r="B39" s="286" t="s">
        <v>397</v>
      </c>
      <c r="C39" s="283" t="s">
        <v>324</v>
      </c>
      <c r="D39" s="282" t="s">
        <v>38</v>
      </c>
      <c r="E39" s="282" t="s">
        <v>419</v>
      </c>
      <c r="F39" s="283" t="s">
        <v>402</v>
      </c>
      <c r="G39" s="285">
        <f>G40</f>
        <v>2500000</v>
      </c>
      <c r="H39" s="285">
        <f>H40</f>
        <v>2500000</v>
      </c>
      <c r="I39" s="285">
        <f>I40</f>
        <v>2500000</v>
      </c>
    </row>
    <row r="40" spans="1:9" x14ac:dyDescent="0.2">
      <c r="A40" s="288" t="s">
        <v>420</v>
      </c>
      <c r="B40" s="286"/>
      <c r="C40" s="289" t="s">
        <v>324</v>
      </c>
      <c r="D40" s="286" t="s">
        <v>38</v>
      </c>
      <c r="E40" s="286" t="s">
        <v>419</v>
      </c>
      <c r="F40" s="287"/>
      <c r="G40" s="290">
        <f>G41</f>
        <v>2500000</v>
      </c>
      <c r="H40" s="280">
        <f>G40</f>
        <v>2500000</v>
      </c>
      <c r="I40" s="280">
        <f>H40</f>
        <v>2500000</v>
      </c>
    </row>
    <row r="41" spans="1:9" x14ac:dyDescent="0.2">
      <c r="A41" s="288" t="s">
        <v>421</v>
      </c>
      <c r="B41" s="286"/>
      <c r="C41" s="289" t="s">
        <v>324</v>
      </c>
      <c r="D41" s="286" t="s">
        <v>38</v>
      </c>
      <c r="E41" s="286" t="s">
        <v>419</v>
      </c>
      <c r="F41" s="287">
        <v>870</v>
      </c>
      <c r="G41" s="290">
        <f>'[1]Аппарат свод'!AO18</f>
        <v>2500000</v>
      </c>
      <c r="H41" s="280">
        <f>G41</f>
        <v>2500000</v>
      </c>
      <c r="I41" s="280">
        <f>H41</f>
        <v>2500000</v>
      </c>
    </row>
    <row r="42" spans="1:9" x14ac:dyDescent="0.2">
      <c r="A42" s="281" t="s">
        <v>422</v>
      </c>
      <c r="B42" s="282" t="s">
        <v>397</v>
      </c>
      <c r="C42" s="283" t="s">
        <v>324</v>
      </c>
      <c r="D42" s="282" t="s">
        <v>339</v>
      </c>
      <c r="E42" s="286"/>
      <c r="F42" s="287"/>
      <c r="G42" s="285">
        <f>SUM(G43,G46,G51,G54,G57,G60,G66)</f>
        <v>11996208.339199999</v>
      </c>
      <c r="H42" s="285">
        <f>SUM(H43,H46,H51,H54,H57,H60,H66)</f>
        <v>11996208.339199999</v>
      </c>
      <c r="I42" s="285">
        <f>SUM(I43,I46,I51,I54,I57,I60,I66)</f>
        <v>11996208.339199999</v>
      </c>
    </row>
    <row r="43" spans="1:9" x14ac:dyDescent="0.2">
      <c r="A43" s="281" t="s">
        <v>423</v>
      </c>
      <c r="B43" s="282" t="s">
        <v>397</v>
      </c>
      <c r="C43" s="283" t="s">
        <v>324</v>
      </c>
      <c r="D43" s="282" t="s">
        <v>339</v>
      </c>
      <c r="E43" s="286" t="s">
        <v>424</v>
      </c>
      <c r="F43" s="287"/>
      <c r="G43" s="285">
        <f>G44</f>
        <v>0</v>
      </c>
      <c r="H43" s="285">
        <f>H44</f>
        <v>0</v>
      </c>
      <c r="I43" s="285">
        <f>I44</f>
        <v>0</v>
      </c>
    </row>
    <row r="44" spans="1:9" ht="25.5" x14ac:dyDescent="0.2">
      <c r="A44" s="288" t="s">
        <v>404</v>
      </c>
      <c r="B44" s="282"/>
      <c r="C44" s="283" t="s">
        <v>324</v>
      </c>
      <c r="D44" s="282" t="s">
        <v>339</v>
      </c>
      <c r="E44" s="286" t="s">
        <v>424</v>
      </c>
      <c r="F44" s="287">
        <v>240</v>
      </c>
      <c r="G44" s="285"/>
      <c r="H44" s="285"/>
      <c r="I44" s="285"/>
    </row>
    <row r="45" spans="1:9" x14ac:dyDescent="0.2">
      <c r="A45" s="281"/>
      <c r="B45" s="282"/>
      <c r="C45" s="283"/>
      <c r="D45" s="282"/>
      <c r="E45" s="286"/>
      <c r="F45" s="287"/>
      <c r="G45" s="285"/>
      <c r="H45" s="285"/>
      <c r="I45" s="285"/>
    </row>
    <row r="46" spans="1:9" x14ac:dyDescent="0.2">
      <c r="A46" s="281" t="s">
        <v>425</v>
      </c>
      <c r="B46" s="282" t="s">
        <v>397</v>
      </c>
      <c r="C46" s="283" t="s">
        <v>324</v>
      </c>
      <c r="D46" s="282" t="s">
        <v>339</v>
      </c>
      <c r="E46" s="282" t="s">
        <v>426</v>
      </c>
      <c r="F46" s="283" t="s">
        <v>402</v>
      </c>
      <c r="G46" s="285">
        <f>SUM(G47:G50)</f>
        <v>1754874.7443200001</v>
      </c>
      <c r="H46" s="285">
        <f>SUM(H47:H50)</f>
        <v>1754874.7443200001</v>
      </c>
      <c r="I46" s="285">
        <f>SUM(I47:I50)</f>
        <v>1754874.7443200001</v>
      </c>
    </row>
    <row r="47" spans="1:9" ht="25.5" x14ac:dyDescent="0.2">
      <c r="A47" s="288" t="s">
        <v>427</v>
      </c>
      <c r="B47" s="282"/>
      <c r="C47" s="283" t="s">
        <v>324</v>
      </c>
      <c r="D47" s="282" t="s">
        <v>339</v>
      </c>
      <c r="E47" s="286" t="s">
        <v>410</v>
      </c>
      <c r="F47" s="289" t="s">
        <v>428</v>
      </c>
      <c r="G47" s="285">
        <f>'[1]Аппарат свод'!AK26</f>
        <v>1265233.9307200001</v>
      </c>
      <c r="H47" s="290">
        <f>G47</f>
        <v>1265233.9307200001</v>
      </c>
      <c r="I47" s="280">
        <f>G47</f>
        <v>1265233.9307200001</v>
      </c>
    </row>
    <row r="48" spans="1:9" ht="25.5" x14ac:dyDescent="0.2">
      <c r="A48" s="288" t="s">
        <v>404</v>
      </c>
      <c r="B48" s="286"/>
      <c r="C48" s="289" t="s">
        <v>324</v>
      </c>
      <c r="D48" s="286" t="s">
        <v>339</v>
      </c>
      <c r="E48" s="286" t="s">
        <v>410</v>
      </c>
      <c r="F48" s="287">
        <v>240</v>
      </c>
      <c r="G48" s="285">
        <f>'[1]Аппарат свод'!AL26</f>
        <v>489640.81359999999</v>
      </c>
      <c r="H48" s="290">
        <f>G48</f>
        <v>489640.81359999999</v>
      </c>
      <c r="I48" s="280">
        <f>G48</f>
        <v>489640.81359999999</v>
      </c>
    </row>
    <row r="49" spans="1:12" x14ac:dyDescent="0.2">
      <c r="A49" s="288" t="s">
        <v>411</v>
      </c>
      <c r="B49" s="286"/>
      <c r="C49" s="289" t="s">
        <v>324</v>
      </c>
      <c r="D49" s="286" t="s">
        <v>339</v>
      </c>
      <c r="E49" s="286" t="s">
        <v>410</v>
      </c>
      <c r="F49" s="287">
        <v>850</v>
      </c>
      <c r="G49" s="285">
        <f>'[1]Аппарат свод'!AM26</f>
        <v>0</v>
      </c>
      <c r="H49" s="290">
        <f>G49</f>
        <v>0</v>
      </c>
      <c r="I49" s="280">
        <f>G49</f>
        <v>0</v>
      </c>
    </row>
    <row r="50" spans="1:12" ht="25.5" x14ac:dyDescent="0.2">
      <c r="A50" s="288" t="s">
        <v>429</v>
      </c>
      <c r="B50" s="286"/>
      <c r="C50" s="289" t="s">
        <v>324</v>
      </c>
      <c r="D50" s="286" t="s">
        <v>339</v>
      </c>
      <c r="E50" s="286" t="s">
        <v>410</v>
      </c>
      <c r="F50" s="287">
        <v>400</v>
      </c>
      <c r="G50" s="285">
        <f>'[1]Аппарат свод'!AN26</f>
        <v>0</v>
      </c>
      <c r="H50" s="285">
        <f>G50</f>
        <v>0</v>
      </c>
      <c r="I50" s="280">
        <f>G50</f>
        <v>0</v>
      </c>
    </row>
    <row r="51" spans="1:12" ht="38.25" x14ac:dyDescent="0.2">
      <c r="A51" s="281" t="s">
        <v>430</v>
      </c>
      <c r="B51" s="282" t="s">
        <v>397</v>
      </c>
      <c r="C51" s="283" t="s">
        <v>324</v>
      </c>
      <c r="D51" s="282" t="s">
        <v>339</v>
      </c>
      <c r="E51" s="282" t="s">
        <v>431</v>
      </c>
      <c r="F51" s="283" t="s">
        <v>402</v>
      </c>
      <c r="G51" s="285">
        <f>SUM(G52:G53)</f>
        <v>371999.75008000003</v>
      </c>
      <c r="H51" s="285">
        <f t="shared" ref="H51:H56" si="2">G51</f>
        <v>371999.75008000003</v>
      </c>
      <c r="I51" s="285">
        <f>G51</f>
        <v>371999.75008000003</v>
      </c>
    </row>
    <row r="52" spans="1:12" ht="25.5" x14ac:dyDescent="0.2">
      <c r="A52" s="288" t="s">
        <v>403</v>
      </c>
      <c r="B52" s="286"/>
      <c r="C52" s="289" t="s">
        <v>324</v>
      </c>
      <c r="D52" s="286" t="s">
        <v>339</v>
      </c>
      <c r="E52" s="286" t="s">
        <v>431</v>
      </c>
      <c r="F52" s="287">
        <v>120</v>
      </c>
      <c r="G52" s="290">
        <f>'[1]Аппарат свод'!AK19</f>
        <v>323379.63918</v>
      </c>
      <c r="H52" s="280">
        <f t="shared" si="2"/>
        <v>323379.63918</v>
      </c>
      <c r="I52" s="280">
        <f>H52</f>
        <v>323379.63918</v>
      </c>
      <c r="J52" s="161" t="s">
        <v>0</v>
      </c>
    </row>
    <row r="53" spans="1:12" ht="25.5" x14ac:dyDescent="0.2">
      <c r="A53" s="288" t="s">
        <v>404</v>
      </c>
      <c r="B53" s="286"/>
      <c r="C53" s="289" t="s">
        <v>324</v>
      </c>
      <c r="D53" s="286" t="s">
        <v>339</v>
      </c>
      <c r="E53" s="286" t="s">
        <v>431</v>
      </c>
      <c r="F53" s="287">
        <v>240</v>
      </c>
      <c r="G53" s="290">
        <f>'[1]Аппарат свод'!AL19</f>
        <v>48620.110900000029</v>
      </c>
      <c r="H53" s="280">
        <f t="shared" si="2"/>
        <v>48620.110900000029</v>
      </c>
      <c r="I53" s="280">
        <f>H53</f>
        <v>48620.110900000029</v>
      </c>
    </row>
    <row r="54" spans="1:12" ht="38.25" x14ac:dyDescent="0.2">
      <c r="A54" s="281" t="s">
        <v>432</v>
      </c>
      <c r="B54" s="282" t="s">
        <v>397</v>
      </c>
      <c r="C54" s="283" t="s">
        <v>324</v>
      </c>
      <c r="D54" s="282" t="s">
        <v>339</v>
      </c>
      <c r="E54" s="282" t="s">
        <v>433</v>
      </c>
      <c r="F54" s="283" t="s">
        <v>402</v>
      </c>
      <c r="G54" s="285">
        <f>SUM(G55:G56)</f>
        <v>743999.81279999996</v>
      </c>
      <c r="H54" s="285">
        <f t="shared" si="2"/>
        <v>743999.81279999996</v>
      </c>
      <c r="I54" s="285">
        <f>G54</f>
        <v>743999.81279999996</v>
      </c>
    </row>
    <row r="55" spans="1:12" ht="25.5" x14ac:dyDescent="0.2">
      <c r="A55" s="288" t="s">
        <v>403</v>
      </c>
      <c r="B55" s="286"/>
      <c r="C55" s="289" t="s">
        <v>324</v>
      </c>
      <c r="D55" s="286" t="s">
        <v>339</v>
      </c>
      <c r="E55" s="286" t="s">
        <v>433</v>
      </c>
      <c r="F55" s="287">
        <v>120</v>
      </c>
      <c r="G55" s="290">
        <f>'[1]Аппарат свод'!AK20</f>
        <v>597317.00630000001</v>
      </c>
      <c r="H55" s="280">
        <f t="shared" si="2"/>
        <v>597317.00630000001</v>
      </c>
      <c r="I55" s="280">
        <f>H55</f>
        <v>597317.00630000001</v>
      </c>
    </row>
    <row r="56" spans="1:12" ht="25.5" x14ac:dyDescent="0.2">
      <c r="A56" s="288" t="s">
        <v>404</v>
      </c>
      <c r="B56" s="286"/>
      <c r="C56" s="289" t="s">
        <v>324</v>
      </c>
      <c r="D56" s="286" t="s">
        <v>339</v>
      </c>
      <c r="E56" s="286" t="s">
        <v>433</v>
      </c>
      <c r="F56" s="287">
        <v>240</v>
      </c>
      <c r="G56" s="290">
        <f>'[1]Аппарат свод'!AL20</f>
        <v>146682.80649999995</v>
      </c>
      <c r="H56" s="280">
        <f t="shared" si="2"/>
        <v>146682.80649999995</v>
      </c>
      <c r="I56" s="280">
        <f>H56</f>
        <v>146682.80649999995</v>
      </c>
    </row>
    <row r="57" spans="1:12" ht="38.25" x14ac:dyDescent="0.2">
      <c r="A57" s="281" t="s">
        <v>434</v>
      </c>
      <c r="B57" s="282" t="s">
        <v>397</v>
      </c>
      <c r="C57" s="283" t="s">
        <v>324</v>
      </c>
      <c r="D57" s="282" t="s">
        <v>339</v>
      </c>
      <c r="E57" s="282" t="s">
        <v>435</v>
      </c>
      <c r="F57" s="283" t="s">
        <v>402</v>
      </c>
      <c r="G57" s="285">
        <f>SUM(G58:G59)</f>
        <v>58400</v>
      </c>
      <c r="H57" s="285">
        <f>SUM(H58:H59)</f>
        <v>58400</v>
      </c>
      <c r="I57" s="285">
        <f>SUM(I58:I59)</f>
        <v>58400</v>
      </c>
    </row>
    <row r="58" spans="1:12" ht="25.5" x14ac:dyDescent="0.2">
      <c r="A58" s="288" t="s">
        <v>403</v>
      </c>
      <c r="B58" s="286"/>
      <c r="C58" s="289" t="s">
        <v>324</v>
      </c>
      <c r="D58" s="286" t="s">
        <v>339</v>
      </c>
      <c r="E58" s="286" t="s">
        <v>435</v>
      </c>
      <c r="F58" s="287">
        <v>120</v>
      </c>
      <c r="G58" s="290">
        <f>'[1]Аппарат свод'!AK17</f>
        <v>0</v>
      </c>
      <c r="H58" s="280"/>
      <c r="I58" s="280"/>
    </row>
    <row r="59" spans="1:12" ht="25.5" x14ac:dyDescent="0.2">
      <c r="A59" s="288" t="s">
        <v>404</v>
      </c>
      <c r="B59" s="286"/>
      <c r="C59" s="289" t="s">
        <v>324</v>
      </c>
      <c r="D59" s="286" t="s">
        <v>339</v>
      </c>
      <c r="E59" s="286" t="s">
        <v>435</v>
      </c>
      <c r="F59" s="287">
        <v>240</v>
      </c>
      <c r="G59" s="290">
        <f>'[1]Аппарат свод'!AL17</f>
        <v>58400</v>
      </c>
      <c r="H59" s="280">
        <f>G59</f>
        <v>58400</v>
      </c>
      <c r="I59" s="280">
        <f>H59</f>
        <v>58400</v>
      </c>
    </row>
    <row r="60" spans="1:12" x14ac:dyDescent="0.2">
      <c r="A60" s="281" t="s">
        <v>436</v>
      </c>
      <c r="B60" s="286"/>
      <c r="C60" s="283" t="s">
        <v>324</v>
      </c>
      <c r="D60" s="282" t="s">
        <v>339</v>
      </c>
      <c r="E60" s="282"/>
      <c r="F60" s="283" t="s">
        <v>402</v>
      </c>
      <c r="G60" s="285">
        <f>SUM(G61:G64)</f>
        <v>6387554.0319999997</v>
      </c>
      <c r="H60" s="285">
        <f>SUM(H61:H64)</f>
        <v>6387554.0319999997</v>
      </c>
      <c r="I60" s="285">
        <f>SUM(I61:I64)</f>
        <v>6387554.0319999997</v>
      </c>
    </row>
    <row r="61" spans="1:12" ht="25.5" x14ac:dyDescent="0.2">
      <c r="A61" s="288" t="s">
        <v>403</v>
      </c>
      <c r="B61" s="282"/>
      <c r="C61" s="283" t="s">
        <v>324</v>
      </c>
      <c r="D61" s="282" t="s">
        <v>339</v>
      </c>
      <c r="E61" s="286" t="s">
        <v>437</v>
      </c>
      <c r="F61" s="289" t="s">
        <v>428</v>
      </c>
      <c r="G61" s="285">
        <f>'[1]МКУ Хозслужба'!Z7</f>
        <v>4876660.53</v>
      </c>
      <c r="H61" s="285">
        <f>G61</f>
        <v>4876660.53</v>
      </c>
      <c r="I61" s="285">
        <f>G61</f>
        <v>4876660.53</v>
      </c>
    </row>
    <row r="62" spans="1:12" ht="25.5" x14ac:dyDescent="0.2">
      <c r="A62" s="288" t="s">
        <v>404</v>
      </c>
      <c r="B62" s="286"/>
      <c r="C62" s="289" t="s">
        <v>324</v>
      </c>
      <c r="D62" s="286" t="s">
        <v>339</v>
      </c>
      <c r="E62" s="286" t="s">
        <v>437</v>
      </c>
      <c r="F62" s="287">
        <v>240</v>
      </c>
      <c r="G62" s="285">
        <f>'[1]МКУ Хозслужба'!AA7</f>
        <v>1510893.5019999994</v>
      </c>
      <c r="H62" s="285">
        <f>G62</f>
        <v>1510893.5019999994</v>
      </c>
      <c r="I62" s="285">
        <f>G62</f>
        <v>1510893.5019999994</v>
      </c>
      <c r="L62" s="161" t="s">
        <v>0</v>
      </c>
    </row>
    <row r="63" spans="1:12" x14ac:dyDescent="0.2">
      <c r="A63" s="288" t="s">
        <v>411</v>
      </c>
      <c r="B63" s="286"/>
      <c r="C63" s="289" t="s">
        <v>324</v>
      </c>
      <c r="D63" s="286" t="s">
        <v>339</v>
      </c>
      <c r="E63" s="286" t="s">
        <v>437</v>
      </c>
      <c r="F63" s="287">
        <v>850</v>
      </c>
      <c r="G63" s="285">
        <f>'[1]МКУ Хозслужба'!AB7</f>
        <v>0</v>
      </c>
      <c r="H63" s="285">
        <f>G63</f>
        <v>0</v>
      </c>
      <c r="I63" s="285">
        <f>G63</f>
        <v>0</v>
      </c>
    </row>
    <row r="64" spans="1:12" ht="25.5" x14ac:dyDescent="0.2">
      <c r="A64" s="288" t="s">
        <v>429</v>
      </c>
      <c r="B64" s="286"/>
      <c r="C64" s="289" t="s">
        <v>324</v>
      </c>
      <c r="D64" s="286" t="s">
        <v>339</v>
      </c>
      <c r="E64" s="286" t="s">
        <v>437</v>
      </c>
      <c r="F64" s="287">
        <v>400</v>
      </c>
      <c r="G64" s="285">
        <f>'[1]МКУ Хозслужба'!AC7</f>
        <v>0</v>
      </c>
      <c r="H64" s="285">
        <f>G64</f>
        <v>0</v>
      </c>
      <c r="I64" s="285">
        <f>G64</f>
        <v>0</v>
      </c>
    </row>
    <row r="65" spans="1:11" x14ac:dyDescent="0.2">
      <c r="A65" s="288"/>
      <c r="B65" s="286"/>
      <c r="C65" s="289"/>
      <c r="D65" s="286"/>
      <c r="E65" s="286"/>
      <c r="F65" s="287"/>
      <c r="G65" s="290"/>
      <c r="H65" s="280"/>
      <c r="I65" s="280"/>
    </row>
    <row r="66" spans="1:11" x14ac:dyDescent="0.2">
      <c r="A66" s="281" t="s">
        <v>438</v>
      </c>
      <c r="B66" s="286"/>
      <c r="C66" s="283" t="s">
        <v>324</v>
      </c>
      <c r="D66" s="282" t="s">
        <v>339</v>
      </c>
      <c r="E66" s="282"/>
      <c r="F66" s="283">
        <v>0</v>
      </c>
      <c r="G66" s="285">
        <f>G67+G68</f>
        <v>2679380</v>
      </c>
      <c r="H66" s="285">
        <f>H67+H68</f>
        <v>2679380</v>
      </c>
      <c r="I66" s="285">
        <f>I67+I68</f>
        <v>2679380</v>
      </c>
    </row>
    <row r="67" spans="1:11" ht="25.5" x14ac:dyDescent="0.2">
      <c r="A67" s="291" t="s">
        <v>439</v>
      </c>
      <c r="B67" s="286"/>
      <c r="C67" s="289" t="s">
        <v>324</v>
      </c>
      <c r="D67" s="286" t="s">
        <v>339</v>
      </c>
      <c r="E67" s="286" t="s">
        <v>440</v>
      </c>
      <c r="F67" s="287">
        <v>611</v>
      </c>
      <c r="G67" s="285">
        <f>'[1]МБУ ЦБ'!V6</f>
        <v>2679380</v>
      </c>
      <c r="H67" s="285">
        <f>G67</f>
        <v>2679380</v>
      </c>
      <c r="I67" s="285">
        <f>H67</f>
        <v>2679380</v>
      </c>
    </row>
    <row r="68" spans="1:11" x14ac:dyDescent="0.2">
      <c r="A68" s="288" t="s">
        <v>39</v>
      </c>
      <c r="B68" s="286"/>
      <c r="C68" s="289" t="s">
        <v>324</v>
      </c>
      <c r="D68" s="286" t="s">
        <v>339</v>
      </c>
      <c r="E68" s="286" t="s">
        <v>440</v>
      </c>
      <c r="F68" s="287">
        <v>612</v>
      </c>
      <c r="G68" s="285">
        <f>'[1]МБУ ЦБ'!V7</f>
        <v>0</v>
      </c>
      <c r="H68" s="285">
        <f>G68</f>
        <v>0</v>
      </c>
      <c r="I68" s="285">
        <f>H68</f>
        <v>0</v>
      </c>
    </row>
    <row r="69" spans="1:11" ht="25.5" x14ac:dyDescent="0.2">
      <c r="A69" s="281" t="s">
        <v>342</v>
      </c>
      <c r="B69" s="282" t="s">
        <v>397</v>
      </c>
      <c r="C69" s="283" t="s">
        <v>328</v>
      </c>
      <c r="D69" s="282" t="s">
        <v>398</v>
      </c>
      <c r="E69" s="282"/>
      <c r="F69" s="284"/>
      <c r="G69" s="285">
        <f>SUM(G70,G74)</f>
        <v>4349248.0707200002</v>
      </c>
      <c r="H69" s="285">
        <f>SUM(H70,H74)</f>
        <v>4349248.0707200002</v>
      </c>
      <c r="I69" s="285">
        <f>SUM(I70,I74)</f>
        <v>4349248.0707200002</v>
      </c>
    </row>
    <row r="70" spans="1:11" ht="25.5" x14ac:dyDescent="0.2">
      <c r="A70" s="278" t="s">
        <v>441</v>
      </c>
      <c r="B70" s="286" t="s">
        <v>397</v>
      </c>
      <c r="C70" s="283" t="s">
        <v>328</v>
      </c>
      <c r="D70" s="282" t="s">
        <v>330</v>
      </c>
      <c r="E70" s="282"/>
      <c r="F70" s="284"/>
      <c r="G70" s="285">
        <f>SUM(G71)</f>
        <v>0</v>
      </c>
      <c r="H70" s="285">
        <f>SUM(H71)</f>
        <v>0</v>
      </c>
      <c r="I70" s="285">
        <f>SUM(I71)</f>
        <v>0</v>
      </c>
    </row>
    <row r="71" spans="1:11" ht="25.5" x14ac:dyDescent="0.2">
      <c r="A71" s="278" t="s">
        <v>442</v>
      </c>
      <c r="B71" s="286" t="s">
        <v>397</v>
      </c>
      <c r="C71" s="283" t="s">
        <v>328</v>
      </c>
      <c r="D71" s="282" t="s">
        <v>330</v>
      </c>
      <c r="E71" s="282" t="s">
        <v>443</v>
      </c>
      <c r="F71" s="289" t="s">
        <v>402</v>
      </c>
      <c r="G71" s="285">
        <f>SUM(G72:G73)</f>
        <v>0</v>
      </c>
      <c r="H71" s="285">
        <f>SUM(H72:H73)</f>
        <v>0</v>
      </c>
      <c r="I71" s="285">
        <f>SUM(I72:I73)</f>
        <v>0</v>
      </c>
    </row>
    <row r="72" spans="1:11" ht="25.5" x14ac:dyDescent="0.2">
      <c r="A72" s="288" t="s">
        <v>403</v>
      </c>
      <c r="B72" s="286"/>
      <c r="C72" s="289" t="s">
        <v>328</v>
      </c>
      <c r="D72" s="286" t="s">
        <v>330</v>
      </c>
      <c r="E72" s="286" t="s">
        <v>443</v>
      </c>
      <c r="F72" s="287">
        <v>120</v>
      </c>
      <c r="G72" s="290">
        <f>'[1]Аппарат свод'!AK16</f>
        <v>0</v>
      </c>
      <c r="H72" s="280">
        <f>G72</f>
        <v>0</v>
      </c>
      <c r="I72" s="280">
        <f>G72</f>
        <v>0</v>
      </c>
    </row>
    <row r="73" spans="1:11" ht="25.5" x14ac:dyDescent="0.2">
      <c r="A73" s="288" t="s">
        <v>404</v>
      </c>
      <c r="B73" s="286"/>
      <c r="C73" s="289" t="s">
        <v>328</v>
      </c>
      <c r="D73" s="286" t="s">
        <v>330</v>
      </c>
      <c r="E73" s="286" t="s">
        <v>443</v>
      </c>
      <c r="F73" s="287">
        <v>240</v>
      </c>
      <c r="G73" s="290">
        <f>'[1]Аппарат свод'!AL16</f>
        <v>0</v>
      </c>
      <c r="H73" s="280">
        <f>G73</f>
        <v>0</v>
      </c>
      <c r="I73" s="280">
        <f>G73</f>
        <v>0</v>
      </c>
    </row>
    <row r="74" spans="1:11" x14ac:dyDescent="0.2">
      <c r="A74" s="292" t="s">
        <v>444</v>
      </c>
      <c r="B74" s="293" t="s">
        <v>397</v>
      </c>
      <c r="C74" s="283" t="s">
        <v>328</v>
      </c>
      <c r="D74" s="282" t="s">
        <v>354</v>
      </c>
      <c r="E74" s="282"/>
      <c r="F74" s="289"/>
      <c r="G74" s="285">
        <f>SUM(G76:G80)</f>
        <v>4349248.0707200002</v>
      </c>
      <c r="H74" s="285">
        <f>SUM(H76:H80)</f>
        <v>4349248.0707200002</v>
      </c>
      <c r="I74" s="285">
        <f>SUM(I76:I80)</f>
        <v>4349248.0707200002</v>
      </c>
    </row>
    <row r="75" spans="1:11" ht="38.25" x14ac:dyDescent="0.2">
      <c r="A75" s="294" t="s">
        <v>445</v>
      </c>
      <c r="B75" s="293" t="s">
        <v>397</v>
      </c>
      <c r="C75" s="283" t="s">
        <v>328</v>
      </c>
      <c r="D75" s="282" t="s">
        <v>354</v>
      </c>
      <c r="E75" s="282" t="s">
        <v>446</v>
      </c>
      <c r="F75" s="289"/>
      <c r="G75" s="285">
        <f>SUM(G76:G77)</f>
        <v>0</v>
      </c>
      <c r="H75" s="285">
        <f>SUM(H76:H77)</f>
        <v>0</v>
      </c>
      <c r="I75" s="285">
        <f>SUM(I76:I77)</f>
        <v>0</v>
      </c>
    </row>
    <row r="76" spans="1:11" ht="25.5" x14ac:dyDescent="0.2">
      <c r="A76" s="164" t="s">
        <v>447</v>
      </c>
      <c r="B76" s="293" t="s">
        <v>397</v>
      </c>
      <c r="C76" s="283" t="s">
        <v>328</v>
      </c>
      <c r="D76" s="282" t="s">
        <v>354</v>
      </c>
      <c r="E76" s="282" t="s">
        <v>448</v>
      </c>
      <c r="F76" s="289" t="s">
        <v>449</v>
      </c>
      <c r="G76" s="285">
        <f>'[1]Муниц прогр №0'!H102</f>
        <v>0</v>
      </c>
      <c r="H76" s="285"/>
      <c r="I76" s="285"/>
    </row>
    <row r="77" spans="1:11" x14ac:dyDescent="0.2">
      <c r="A77" s="295" t="s">
        <v>450</v>
      </c>
      <c r="B77" s="293" t="s">
        <v>397</v>
      </c>
      <c r="C77" s="283" t="s">
        <v>328</v>
      </c>
      <c r="D77" s="282" t="s">
        <v>354</v>
      </c>
      <c r="E77" s="282" t="s">
        <v>451</v>
      </c>
      <c r="F77" s="289" t="s">
        <v>449</v>
      </c>
      <c r="G77" s="285">
        <f>'[1]Муниц прогр №0'!H108</f>
        <v>0</v>
      </c>
      <c r="H77" s="285"/>
      <c r="I77" s="285"/>
    </row>
    <row r="78" spans="1:11" ht="25.5" x14ac:dyDescent="0.2">
      <c r="A78" s="288" t="s">
        <v>403</v>
      </c>
      <c r="B78" s="286"/>
      <c r="C78" s="289" t="s">
        <v>328</v>
      </c>
      <c r="D78" s="286" t="s">
        <v>354</v>
      </c>
      <c r="E78" s="282" t="s">
        <v>410</v>
      </c>
      <c r="F78" s="287">
        <v>120</v>
      </c>
      <c r="G78" s="290">
        <f>'[1]Аппарат свод'!AK14</f>
        <v>1606277.79262</v>
      </c>
      <c r="H78" s="280">
        <f>G78</f>
        <v>1606277.79262</v>
      </c>
      <c r="I78" s="280">
        <f>G78</f>
        <v>1606277.79262</v>
      </c>
      <c r="K78" s="161" t="s">
        <v>0</v>
      </c>
    </row>
    <row r="79" spans="1:11" ht="25.5" x14ac:dyDescent="0.2">
      <c r="A79" s="288" t="s">
        <v>404</v>
      </c>
      <c r="B79" s="286"/>
      <c r="C79" s="289" t="s">
        <v>328</v>
      </c>
      <c r="D79" s="286" t="s">
        <v>354</v>
      </c>
      <c r="E79" s="286" t="s">
        <v>410</v>
      </c>
      <c r="F79" s="287">
        <v>240</v>
      </c>
      <c r="G79" s="290">
        <f>'[1]Аппарат свод'!AL14</f>
        <v>47260.198099999921</v>
      </c>
      <c r="H79" s="280">
        <f>G79</f>
        <v>47260.198099999921</v>
      </c>
      <c r="I79" s="280">
        <f>G79</f>
        <v>47260.198099999921</v>
      </c>
    </row>
    <row r="80" spans="1:11" x14ac:dyDescent="0.2">
      <c r="A80" s="281" t="s">
        <v>452</v>
      </c>
      <c r="B80" s="286"/>
      <c r="C80" s="289" t="s">
        <v>328</v>
      </c>
      <c r="D80" s="286" t="s">
        <v>354</v>
      </c>
      <c r="E80" s="286"/>
      <c r="F80" s="287">
        <v>0</v>
      </c>
      <c r="G80" s="285">
        <f>SUM(G81:G82)</f>
        <v>2695710.08</v>
      </c>
      <c r="H80" s="285">
        <f>SUM(H81:H82)</f>
        <v>2695710.08</v>
      </c>
      <c r="I80" s="285">
        <f>SUM(I81:I82)</f>
        <v>2695710.08</v>
      </c>
    </row>
    <row r="81" spans="1:13" ht="25.5" x14ac:dyDescent="0.2">
      <c r="A81" s="288" t="s">
        <v>453</v>
      </c>
      <c r="B81" s="286"/>
      <c r="C81" s="289" t="s">
        <v>328</v>
      </c>
      <c r="D81" s="286" t="s">
        <v>354</v>
      </c>
      <c r="E81" s="282" t="s">
        <v>454</v>
      </c>
      <c r="F81" s="287">
        <v>110</v>
      </c>
      <c r="G81" s="290">
        <f>'[1]МКУ ЕДДС'!Z7</f>
        <v>2585710.08</v>
      </c>
      <c r="H81" s="280">
        <f>G81</f>
        <v>2585710.08</v>
      </c>
      <c r="I81" s="280">
        <f>G81</f>
        <v>2585710.08</v>
      </c>
    </row>
    <row r="82" spans="1:13" ht="25.5" x14ac:dyDescent="0.2">
      <c r="A82" s="288" t="s">
        <v>404</v>
      </c>
      <c r="B82" s="286"/>
      <c r="C82" s="289" t="s">
        <v>328</v>
      </c>
      <c r="D82" s="286" t="s">
        <v>354</v>
      </c>
      <c r="E82" s="286" t="s">
        <v>454</v>
      </c>
      <c r="F82" s="287">
        <v>240</v>
      </c>
      <c r="G82" s="290">
        <f>'[1]МКУ ЕДДС'!AA7</f>
        <v>110000</v>
      </c>
      <c r="H82" s="280">
        <f>G82</f>
        <v>110000</v>
      </c>
      <c r="I82" s="280">
        <f>G82</f>
        <v>110000</v>
      </c>
    </row>
    <row r="83" spans="1:13" x14ac:dyDescent="0.2">
      <c r="A83" s="281" t="s">
        <v>349</v>
      </c>
      <c r="B83" s="286"/>
      <c r="C83" s="283" t="s">
        <v>330</v>
      </c>
      <c r="D83" s="282" t="s">
        <v>398</v>
      </c>
      <c r="E83" s="282"/>
      <c r="F83" s="284"/>
      <c r="G83" s="285">
        <f>SUM(G84,G87,G91,G92)</f>
        <v>28969183.181759998</v>
      </c>
      <c r="H83" s="285">
        <f>SUM(H84,H87,H91,H92)</f>
        <v>44700183.181759998</v>
      </c>
      <c r="I83" s="285">
        <f>SUM(I84,I87,I91,I92)</f>
        <v>13238183.18176</v>
      </c>
      <c r="L83" s="161" t="s">
        <v>0</v>
      </c>
    </row>
    <row r="84" spans="1:13" x14ac:dyDescent="0.2">
      <c r="A84" s="281" t="s">
        <v>0</v>
      </c>
      <c r="B84" s="286"/>
      <c r="C84" s="283" t="s">
        <v>330</v>
      </c>
      <c r="D84" s="282" t="s">
        <v>324</v>
      </c>
      <c r="E84" s="282" t="s">
        <v>455</v>
      </c>
      <c r="F84" s="284">
        <v>240</v>
      </c>
      <c r="G84" s="285">
        <f>'[1]Аппарат свод'!AR51</f>
        <v>0</v>
      </c>
      <c r="H84" s="285">
        <f>G84</f>
        <v>0</v>
      </c>
      <c r="I84" s="285">
        <f>H84</f>
        <v>0</v>
      </c>
    </row>
    <row r="85" spans="1:13" x14ac:dyDescent="0.2">
      <c r="A85" s="281" t="s">
        <v>456</v>
      </c>
      <c r="B85" s="282" t="s">
        <v>457</v>
      </c>
      <c r="C85" s="283"/>
      <c r="D85" s="282"/>
      <c r="E85" s="282"/>
      <c r="F85" s="284"/>
      <c r="G85" s="285"/>
      <c r="H85" s="280"/>
      <c r="I85" s="280"/>
    </row>
    <row r="86" spans="1:13" x14ac:dyDescent="0.2">
      <c r="A86" s="281" t="s">
        <v>350</v>
      </c>
      <c r="B86" s="282" t="s">
        <v>457</v>
      </c>
      <c r="C86" s="283" t="s">
        <v>330</v>
      </c>
      <c r="D86" s="282" t="s">
        <v>332</v>
      </c>
      <c r="E86" s="282" t="s">
        <v>0</v>
      </c>
      <c r="F86" s="289" t="s">
        <v>402</v>
      </c>
      <c r="G86" s="285">
        <f>SUM(G87,G91)</f>
        <v>2872583.1817600001</v>
      </c>
      <c r="H86" s="285">
        <f>SUM(H87,H91)</f>
        <v>2872583.1817600001</v>
      </c>
      <c r="I86" s="285">
        <f>SUM(I87,I91)</f>
        <v>2872583.1817600001</v>
      </c>
    </row>
    <row r="87" spans="1:13" ht="25.5" x14ac:dyDescent="0.2">
      <c r="A87" s="281" t="s">
        <v>458</v>
      </c>
      <c r="B87" s="286"/>
      <c r="C87" s="283" t="s">
        <v>330</v>
      </c>
      <c r="D87" s="282" t="s">
        <v>332</v>
      </c>
      <c r="E87" s="282" t="s">
        <v>410</v>
      </c>
      <c r="F87" s="284"/>
      <c r="G87" s="285">
        <f>SUM(G88:G90)</f>
        <v>2872583.1817600001</v>
      </c>
      <c r="H87" s="285">
        <f>SUM(H88:H90)</f>
        <v>2872583.1817600001</v>
      </c>
      <c r="I87" s="285">
        <f>SUM(I88:I90)</f>
        <v>2872583.1817600001</v>
      </c>
    </row>
    <row r="88" spans="1:13" ht="25.5" x14ac:dyDescent="0.2">
      <c r="A88" s="288" t="s">
        <v>403</v>
      </c>
      <c r="B88" s="286"/>
      <c r="C88" s="289" t="s">
        <v>330</v>
      </c>
      <c r="D88" s="286" t="s">
        <v>332</v>
      </c>
      <c r="E88" s="286" t="s">
        <v>410</v>
      </c>
      <c r="F88" s="287">
        <v>120</v>
      </c>
      <c r="G88" s="290">
        <f>[1]УСХ!AC7</f>
        <v>2598966.5819600001</v>
      </c>
      <c r="H88" s="280">
        <f t="shared" ref="H88:I90" si="3">G88</f>
        <v>2598966.5819600001</v>
      </c>
      <c r="I88" s="280">
        <f t="shared" si="3"/>
        <v>2598966.5819600001</v>
      </c>
    </row>
    <row r="89" spans="1:13" ht="25.5" x14ac:dyDescent="0.2">
      <c r="A89" s="288" t="s">
        <v>404</v>
      </c>
      <c r="B89" s="286"/>
      <c r="C89" s="289" t="s">
        <v>330</v>
      </c>
      <c r="D89" s="286" t="s">
        <v>332</v>
      </c>
      <c r="E89" s="286" t="s">
        <v>410</v>
      </c>
      <c r="F89" s="287">
        <v>240</v>
      </c>
      <c r="G89" s="290">
        <f>[1]УСХ!AD7</f>
        <v>273616.59979999997</v>
      </c>
      <c r="H89" s="280">
        <f t="shared" si="3"/>
        <v>273616.59979999997</v>
      </c>
      <c r="I89" s="280">
        <f t="shared" si="3"/>
        <v>273616.59979999997</v>
      </c>
    </row>
    <row r="90" spans="1:13" ht="25.5" x14ac:dyDescent="0.2">
      <c r="A90" s="288" t="s">
        <v>404</v>
      </c>
      <c r="B90" s="286"/>
      <c r="C90" s="289" t="s">
        <v>330</v>
      </c>
      <c r="D90" s="286" t="s">
        <v>332</v>
      </c>
      <c r="E90" s="286" t="s">
        <v>410</v>
      </c>
      <c r="F90" s="287">
        <v>850</v>
      </c>
      <c r="G90" s="290">
        <f>[1]УСХ!AE7</f>
        <v>0</v>
      </c>
      <c r="H90" s="280">
        <f t="shared" si="3"/>
        <v>0</v>
      </c>
      <c r="I90" s="280">
        <f t="shared" si="3"/>
        <v>0</v>
      </c>
    </row>
    <row r="91" spans="1:13" x14ac:dyDescent="0.2">
      <c r="A91" s="281" t="s">
        <v>459</v>
      </c>
      <c r="B91" s="286"/>
      <c r="C91" s="289" t="s">
        <v>330</v>
      </c>
      <c r="D91" s="286" t="s">
        <v>332</v>
      </c>
      <c r="E91" s="286" t="s">
        <v>440</v>
      </c>
      <c r="F91" s="287">
        <v>240</v>
      </c>
      <c r="G91" s="290">
        <f>'[1]Аппарат свод'!AL43</f>
        <v>0</v>
      </c>
      <c r="H91" s="280">
        <v>0</v>
      </c>
      <c r="I91" s="280">
        <v>0</v>
      </c>
    </row>
    <row r="92" spans="1:13" x14ac:dyDescent="0.2">
      <c r="A92" s="281" t="s">
        <v>460</v>
      </c>
      <c r="B92" s="286" t="s">
        <v>415</v>
      </c>
      <c r="C92" s="283" t="s">
        <v>330</v>
      </c>
      <c r="D92" s="282" t="s">
        <v>354</v>
      </c>
      <c r="E92" s="282"/>
      <c r="F92" s="289" t="s">
        <v>402</v>
      </c>
      <c r="G92" s="285">
        <f>SUM(G93)</f>
        <v>26096600</v>
      </c>
      <c r="H92" s="285">
        <f>SUM(H93:H94)</f>
        <v>41827600</v>
      </c>
      <c r="I92" s="285">
        <f>SUM(I93:I94)</f>
        <v>10365600</v>
      </c>
    </row>
    <row r="93" spans="1:13" ht="25.5" x14ac:dyDescent="0.2">
      <c r="A93" s="165" t="s">
        <v>461</v>
      </c>
      <c r="B93" s="286"/>
      <c r="C93" s="289" t="s">
        <v>330</v>
      </c>
      <c r="D93" s="286" t="s">
        <v>354</v>
      </c>
      <c r="E93" s="282" t="s">
        <v>462</v>
      </c>
      <c r="F93" s="289" t="s">
        <v>402</v>
      </c>
      <c r="G93" s="285">
        <f>SUM(G94:G96)</f>
        <v>26096600</v>
      </c>
      <c r="H93" s="285">
        <f>SUM(H94:H96)</f>
        <v>23204600</v>
      </c>
      <c r="I93" s="285">
        <f>SUM(I94:I96)</f>
        <v>7473600</v>
      </c>
    </row>
    <row r="94" spans="1:13" ht="38.25" x14ac:dyDescent="0.2">
      <c r="A94" s="165" t="s">
        <v>463</v>
      </c>
      <c r="B94" s="286"/>
      <c r="C94" s="289" t="s">
        <v>330</v>
      </c>
      <c r="D94" s="286" t="s">
        <v>354</v>
      </c>
      <c r="E94" s="286" t="s">
        <v>462</v>
      </c>
      <c r="F94" s="287">
        <v>530</v>
      </c>
      <c r="G94" s="290">
        <f>'[1]Автоакц расш №2 к прил 5'!C29</f>
        <v>21515000</v>
      </c>
      <c r="H94" s="290">
        <f>'[1]Автоакц расш №2 к прил 5'!D29</f>
        <v>18623000</v>
      </c>
      <c r="I94" s="290">
        <f>'[1]Автоакц расш №2 к прил 5'!E29</f>
        <v>2892000</v>
      </c>
    </row>
    <row r="95" spans="1:13" ht="38.25" x14ac:dyDescent="0.2">
      <c r="A95" s="165" t="s">
        <v>464</v>
      </c>
      <c r="B95" s="286"/>
      <c r="C95" s="289" t="s">
        <v>330</v>
      </c>
      <c r="D95" s="286" t="s">
        <v>354</v>
      </c>
      <c r="E95" s="286" t="s">
        <v>462</v>
      </c>
      <c r="F95" s="287">
        <v>612</v>
      </c>
      <c r="G95" s="290">
        <f>'[1]Автоакц расш №2 к прил 5'!C45</f>
        <v>4059668</v>
      </c>
      <c r="H95" s="290">
        <f>G95</f>
        <v>4059668</v>
      </c>
      <c r="I95" s="290">
        <f>H95</f>
        <v>4059668</v>
      </c>
      <c r="M95" s="161" t="s">
        <v>0</v>
      </c>
    </row>
    <row r="96" spans="1:13" x14ac:dyDescent="0.2">
      <c r="A96" s="165" t="s">
        <v>465</v>
      </c>
      <c r="B96" s="286"/>
      <c r="C96" s="289" t="s">
        <v>330</v>
      </c>
      <c r="D96" s="286" t="s">
        <v>354</v>
      </c>
      <c r="E96" s="286" t="s">
        <v>466</v>
      </c>
      <c r="F96" s="287">
        <v>870</v>
      </c>
      <c r="G96" s="290">
        <f>'[1]Автоакц расш №2 к прил 5'!D46</f>
        <v>521932</v>
      </c>
      <c r="H96" s="290">
        <f>G96</f>
        <v>521932</v>
      </c>
      <c r="I96" s="290">
        <f>H96</f>
        <v>521932</v>
      </c>
    </row>
    <row r="97" spans="1:12" x14ac:dyDescent="0.2">
      <c r="A97" s="281" t="s">
        <v>41</v>
      </c>
      <c r="B97" s="286" t="s">
        <v>467</v>
      </c>
      <c r="C97" s="283" t="s">
        <v>332</v>
      </c>
      <c r="D97" s="282" t="s">
        <v>398</v>
      </c>
      <c r="E97" s="282"/>
      <c r="F97" s="284"/>
      <c r="G97" s="285">
        <f>SUM(G98:G104)</f>
        <v>24545343</v>
      </c>
      <c r="H97" s="285">
        <f>SUM(H98:H104)</f>
        <v>24545343</v>
      </c>
      <c r="I97" s="285">
        <f>SUM(I98:I104)</f>
        <v>24545343</v>
      </c>
    </row>
    <row r="98" spans="1:12" ht="25.5" x14ac:dyDescent="0.2">
      <c r="A98" s="291" t="s">
        <v>439</v>
      </c>
      <c r="B98" s="286"/>
      <c r="C98" s="283" t="s">
        <v>332</v>
      </c>
      <c r="D98" s="282" t="s">
        <v>326</v>
      </c>
      <c r="E98" s="286" t="s">
        <v>468</v>
      </c>
      <c r="F98" s="284">
        <v>611</v>
      </c>
      <c r="G98" s="285">
        <f>'[1]МБУ ЖКХ'!AO9</f>
        <v>907677</v>
      </c>
      <c r="H98" s="285">
        <f t="shared" ref="H98:I100" si="4">G98</f>
        <v>907677</v>
      </c>
      <c r="I98" s="285">
        <f t="shared" si="4"/>
        <v>907677</v>
      </c>
    </row>
    <row r="99" spans="1:12" x14ac:dyDescent="0.2">
      <c r="A99" s="288" t="s">
        <v>39</v>
      </c>
      <c r="B99" s="286"/>
      <c r="C99" s="283" t="s">
        <v>332</v>
      </c>
      <c r="D99" s="282" t="s">
        <v>326</v>
      </c>
      <c r="E99" s="286" t="s">
        <v>468</v>
      </c>
      <c r="F99" s="284">
        <v>612</v>
      </c>
      <c r="G99" s="285">
        <f>'[1]МБУ ЖКХ'!AO12</f>
        <v>9218763</v>
      </c>
      <c r="H99" s="285">
        <f t="shared" si="4"/>
        <v>9218763</v>
      </c>
      <c r="I99" s="285">
        <f t="shared" si="4"/>
        <v>9218763</v>
      </c>
    </row>
    <row r="100" spans="1:12" ht="25.5" x14ac:dyDescent="0.2">
      <c r="A100" s="291" t="s">
        <v>439</v>
      </c>
      <c r="B100" s="286"/>
      <c r="C100" s="283" t="s">
        <v>332</v>
      </c>
      <c r="D100" s="282" t="s">
        <v>328</v>
      </c>
      <c r="E100" s="286" t="s">
        <v>468</v>
      </c>
      <c r="F100" s="284">
        <v>611</v>
      </c>
      <c r="G100" s="285">
        <f>'[1]МБУ ЖКХ'!AO10</f>
        <v>5572860</v>
      </c>
      <c r="H100" s="285">
        <f t="shared" si="4"/>
        <v>5572860</v>
      </c>
      <c r="I100" s="285">
        <f t="shared" si="4"/>
        <v>5572860</v>
      </c>
    </row>
    <row r="101" spans="1:12" x14ac:dyDescent="0.2">
      <c r="A101" s="288" t="s">
        <v>39</v>
      </c>
      <c r="B101" s="286"/>
      <c r="C101" s="283" t="s">
        <v>332</v>
      </c>
      <c r="D101" s="282" t="s">
        <v>328</v>
      </c>
      <c r="E101" s="286" t="s">
        <v>468</v>
      </c>
      <c r="F101" s="284">
        <v>612</v>
      </c>
      <c r="G101" s="285"/>
      <c r="H101" s="285">
        <v>0</v>
      </c>
      <c r="I101" s="285"/>
      <c r="K101" s="161" t="s">
        <v>0</v>
      </c>
    </row>
    <row r="102" spans="1:12" ht="25.5" x14ac:dyDescent="0.2">
      <c r="A102" s="288" t="s">
        <v>429</v>
      </c>
      <c r="B102" s="286"/>
      <c r="C102" s="283" t="s">
        <v>332</v>
      </c>
      <c r="D102" s="282" t="s">
        <v>328</v>
      </c>
      <c r="E102" s="286" t="s">
        <v>469</v>
      </c>
      <c r="F102" s="287">
        <v>400</v>
      </c>
      <c r="G102" s="290"/>
      <c r="H102" s="290"/>
      <c r="I102" s="290"/>
      <c r="L102" s="161" t="s">
        <v>0</v>
      </c>
    </row>
    <row r="103" spans="1:12" x14ac:dyDescent="0.2">
      <c r="A103" s="288"/>
      <c r="B103" s="286"/>
      <c r="C103" s="283" t="s">
        <v>332</v>
      </c>
      <c r="D103" s="282" t="s">
        <v>332</v>
      </c>
      <c r="E103" s="286" t="s">
        <v>469</v>
      </c>
      <c r="F103" s="287">
        <v>611</v>
      </c>
      <c r="G103" s="285">
        <f>'[1]МБУ ЖКХ прил №22'!C19</f>
        <v>8846043</v>
      </c>
      <c r="H103" s="290">
        <f>G103</f>
        <v>8846043</v>
      </c>
      <c r="I103" s="290">
        <f>H103</f>
        <v>8846043</v>
      </c>
    </row>
    <row r="104" spans="1:12" x14ac:dyDescent="0.2">
      <c r="A104" s="288"/>
      <c r="B104" s="286"/>
      <c r="C104" s="283" t="s">
        <v>330</v>
      </c>
      <c r="D104" s="282" t="s">
        <v>354</v>
      </c>
      <c r="E104" s="286" t="s">
        <v>470</v>
      </c>
      <c r="F104" s="287"/>
      <c r="G104" s="285">
        <v>0</v>
      </c>
      <c r="H104" s="290">
        <v>0</v>
      </c>
      <c r="I104" s="290">
        <v>0</v>
      </c>
    </row>
    <row r="105" spans="1:12" ht="25.5" x14ac:dyDescent="0.2">
      <c r="A105" s="278" t="s">
        <v>471</v>
      </c>
      <c r="B105" s="282" t="s">
        <v>472</v>
      </c>
      <c r="C105" s="289"/>
      <c r="D105" s="286"/>
      <c r="E105" s="286"/>
      <c r="F105" s="287"/>
      <c r="G105" s="290"/>
      <c r="H105" s="280"/>
      <c r="I105" s="280"/>
    </row>
    <row r="106" spans="1:12" x14ac:dyDescent="0.2">
      <c r="A106" s="281" t="s">
        <v>362</v>
      </c>
      <c r="B106" s="282" t="s">
        <v>472</v>
      </c>
      <c r="C106" s="283" t="s">
        <v>336</v>
      </c>
      <c r="D106" s="282"/>
      <c r="E106" s="282"/>
      <c r="F106" s="284"/>
      <c r="G106" s="285">
        <f>SUM(G107,G117,G130,G140,G143)</f>
        <v>911563818.65572524</v>
      </c>
      <c r="H106" s="285">
        <f>SUM(H107,H117,H130,H140,H143)</f>
        <v>865596894.32872522</v>
      </c>
      <c r="I106" s="285">
        <f>SUM(I107,I117,I130,I140,I143)</f>
        <v>905713302.53272521</v>
      </c>
    </row>
    <row r="107" spans="1:12" x14ac:dyDescent="0.2">
      <c r="A107" s="278" t="s">
        <v>473</v>
      </c>
      <c r="B107" s="282" t="s">
        <v>472</v>
      </c>
      <c r="C107" s="283" t="s">
        <v>336</v>
      </c>
      <c r="D107" s="282" t="s">
        <v>324</v>
      </c>
      <c r="E107" s="282" t="s">
        <v>474</v>
      </c>
      <c r="F107" s="283" t="s">
        <v>402</v>
      </c>
      <c r="G107" s="285">
        <f>SUM(G108,G110:G111,G113,G114,G115,G116)</f>
        <v>211003393.5425652</v>
      </c>
      <c r="H107" s="285">
        <f>SUM(H110:H111,H113,H114,H115,H116)</f>
        <v>191463554.63956517</v>
      </c>
      <c r="I107" s="285">
        <f>SUM(I110:I111,I113,I114,I115,I116)</f>
        <v>223989305.63956517</v>
      </c>
    </row>
    <row r="108" spans="1:12" ht="38.25" x14ac:dyDescent="0.2">
      <c r="A108" s="294" t="s">
        <v>445</v>
      </c>
      <c r="B108" s="282" t="s">
        <v>472</v>
      </c>
      <c r="C108" s="283" t="s">
        <v>336</v>
      </c>
      <c r="D108" s="282" t="s">
        <v>324</v>
      </c>
      <c r="E108" s="282" t="s">
        <v>475</v>
      </c>
      <c r="F108" s="283" t="s">
        <v>402</v>
      </c>
      <c r="G108" s="285">
        <f>SUM(G109)</f>
        <v>0</v>
      </c>
      <c r="H108" s="285">
        <f>SUM(H109)</f>
        <v>0</v>
      </c>
      <c r="I108" s="285">
        <f>SUM(I109)</f>
        <v>0</v>
      </c>
    </row>
    <row r="109" spans="1:12" ht="51" x14ac:dyDescent="0.2">
      <c r="A109" s="281" t="s">
        <v>476</v>
      </c>
      <c r="B109" s="282" t="s">
        <v>472</v>
      </c>
      <c r="C109" s="283" t="s">
        <v>336</v>
      </c>
      <c r="D109" s="282" t="s">
        <v>324</v>
      </c>
      <c r="E109" s="282" t="s">
        <v>475</v>
      </c>
      <c r="F109" s="283" t="s">
        <v>449</v>
      </c>
      <c r="G109" s="285">
        <f>'[1]ясли сады (контр) по программе'!D25</f>
        <v>0</v>
      </c>
      <c r="H109" s="285">
        <f t="shared" ref="H109:I111" si="5">G109</f>
        <v>0</v>
      </c>
      <c r="I109" s="285">
        <f t="shared" si="5"/>
        <v>0</v>
      </c>
    </row>
    <row r="110" spans="1:12" ht="25.5" x14ac:dyDescent="0.2">
      <c r="A110" s="288" t="s">
        <v>453</v>
      </c>
      <c r="B110" s="286"/>
      <c r="C110" s="289" t="s">
        <v>336</v>
      </c>
      <c r="D110" s="286" t="s">
        <v>324</v>
      </c>
      <c r="E110" s="282" t="s">
        <v>477</v>
      </c>
      <c r="F110" s="283" t="s">
        <v>478</v>
      </c>
      <c r="G110" s="285">
        <f>'[1]прилож №13 гостан '!H62+'[1]прилож №13 гостан '!J62+'[1]прилож №13 гостан '!H73+'[1]прилож №13 гостан '!J73+'[1]прилож №13 гостан '!I62</f>
        <v>116496169.9770052</v>
      </c>
      <c r="H110" s="285">
        <f t="shared" si="5"/>
        <v>116496169.9770052</v>
      </c>
      <c r="I110" s="285">
        <f t="shared" si="5"/>
        <v>116496169.9770052</v>
      </c>
    </row>
    <row r="111" spans="1:12" ht="25.5" x14ac:dyDescent="0.2">
      <c r="A111" s="288" t="s">
        <v>404</v>
      </c>
      <c r="B111" s="286"/>
      <c r="C111" s="289" t="s">
        <v>336</v>
      </c>
      <c r="D111" s="286" t="s">
        <v>324</v>
      </c>
      <c r="E111" s="286" t="s">
        <v>477</v>
      </c>
      <c r="F111" s="289" t="s">
        <v>449</v>
      </c>
      <c r="G111" s="285">
        <f>'[1]прилож №13 гостан '!O62+'[1]прилож №13 гостан '!P62+'[1]прилож №13 гостан '!K62+'[1]прилож №13 гостан '!L62+'[1]прилож №13 гостан '!M62+'[1]прилож №13 гостан '!N62</f>
        <v>4673829.82</v>
      </c>
      <c r="H111" s="285">
        <f t="shared" si="5"/>
        <v>4673829.82</v>
      </c>
      <c r="I111" s="285">
        <f t="shared" si="5"/>
        <v>4673829.82</v>
      </c>
    </row>
    <row r="112" spans="1:12" x14ac:dyDescent="0.2">
      <c r="A112" s="288"/>
      <c r="B112" s="286"/>
      <c r="C112" s="289"/>
      <c r="D112" s="286"/>
      <c r="E112" s="286"/>
      <c r="F112" s="289"/>
      <c r="G112" s="285"/>
      <c r="H112" s="280"/>
      <c r="I112" s="280"/>
    </row>
    <row r="113" spans="1:11" ht="25.5" x14ac:dyDescent="0.2">
      <c r="A113" s="288" t="s">
        <v>453</v>
      </c>
      <c r="B113" s="286"/>
      <c r="C113" s="289" t="s">
        <v>336</v>
      </c>
      <c r="D113" s="286" t="s">
        <v>324</v>
      </c>
      <c r="E113" s="286" t="s">
        <v>479</v>
      </c>
      <c r="F113" s="287">
        <v>110</v>
      </c>
      <c r="G113" s="290">
        <f>'[1]Свод образ'!AH10-G110</f>
        <v>41601359.842559978</v>
      </c>
      <c r="H113" s="280">
        <f>G113</f>
        <v>41601359.842559978</v>
      </c>
      <c r="I113" s="280">
        <f>G113</f>
        <v>41601359.842559978</v>
      </c>
    </row>
    <row r="114" spans="1:11" ht="25.5" x14ac:dyDescent="0.2">
      <c r="A114" s="288" t="s">
        <v>404</v>
      </c>
      <c r="B114" s="286"/>
      <c r="C114" s="289" t="s">
        <v>336</v>
      </c>
      <c r="D114" s="286" t="s">
        <v>324</v>
      </c>
      <c r="E114" s="286" t="s">
        <v>479</v>
      </c>
      <c r="F114" s="287">
        <v>240</v>
      </c>
      <c r="G114" s="290">
        <f>'[1]Свод образ'!AI10-G111</f>
        <v>44907538.903000019</v>
      </c>
      <c r="H114" s="280">
        <v>25367700</v>
      </c>
      <c r="I114" s="280">
        <v>57893451</v>
      </c>
    </row>
    <row r="115" spans="1:11" x14ac:dyDescent="0.2">
      <c r="A115" s="288" t="s">
        <v>411</v>
      </c>
      <c r="B115" s="286"/>
      <c r="C115" s="289" t="s">
        <v>336</v>
      </c>
      <c r="D115" s="286" t="s">
        <v>324</v>
      </c>
      <c r="E115" s="286" t="s">
        <v>479</v>
      </c>
      <c r="F115" s="287">
        <v>850</v>
      </c>
      <c r="G115" s="290">
        <f>'[1]Свод образ'!AJ10</f>
        <v>3324495</v>
      </c>
      <c r="H115" s="280">
        <f>G115</f>
        <v>3324495</v>
      </c>
      <c r="I115" s="280">
        <f>G115</f>
        <v>3324495</v>
      </c>
    </row>
    <row r="116" spans="1:11" ht="25.5" x14ac:dyDescent="0.2">
      <c r="A116" s="288" t="s">
        <v>429</v>
      </c>
      <c r="B116" s="286"/>
      <c r="C116" s="289" t="s">
        <v>336</v>
      </c>
      <c r="D116" s="286" t="s">
        <v>324</v>
      </c>
      <c r="E116" s="286" t="s">
        <v>479</v>
      </c>
      <c r="F116" s="287">
        <v>400</v>
      </c>
      <c r="G116" s="290">
        <f>'[1]Свод образ'!AK10</f>
        <v>0</v>
      </c>
      <c r="H116" s="280">
        <f>G116</f>
        <v>0</v>
      </c>
      <c r="I116" s="280">
        <f>G116</f>
        <v>0</v>
      </c>
    </row>
    <row r="117" spans="1:11" x14ac:dyDescent="0.2">
      <c r="A117" s="281" t="s">
        <v>364</v>
      </c>
      <c r="B117" s="282" t="s">
        <v>472</v>
      </c>
      <c r="C117" s="283" t="s">
        <v>336</v>
      </c>
      <c r="D117" s="282" t="s">
        <v>326</v>
      </c>
      <c r="E117" s="282"/>
      <c r="F117" s="284"/>
      <c r="G117" s="285">
        <f>SUM(G118,G120)+G125</f>
        <v>611982774.90711999</v>
      </c>
      <c r="H117" s="285">
        <f>SUM(H118,H120)+H125</f>
        <v>587199068.48311996</v>
      </c>
      <c r="I117" s="285">
        <f>SUM(I118,I120)+I125</f>
        <v>594789725.68711996</v>
      </c>
    </row>
    <row r="118" spans="1:11" ht="38.25" x14ac:dyDescent="0.2">
      <c r="A118" s="294" t="s">
        <v>445</v>
      </c>
      <c r="B118" s="282" t="s">
        <v>472</v>
      </c>
      <c r="C118" s="283" t="s">
        <v>336</v>
      </c>
      <c r="D118" s="282" t="s">
        <v>326</v>
      </c>
      <c r="E118" s="282" t="s">
        <v>480</v>
      </c>
      <c r="F118" s="283" t="s">
        <v>402</v>
      </c>
      <c r="G118" s="285">
        <f>SUM(G119)</f>
        <v>0</v>
      </c>
      <c r="H118" s="285">
        <f>SUM(H119)</f>
        <v>0</v>
      </c>
      <c r="I118" s="285">
        <f>SUM(I119)</f>
        <v>0</v>
      </c>
    </row>
    <row r="119" spans="1:11" ht="51" x14ac:dyDescent="0.2">
      <c r="A119" s="281" t="s">
        <v>476</v>
      </c>
      <c r="B119" s="282" t="s">
        <v>472</v>
      </c>
      <c r="C119" s="283" t="s">
        <v>336</v>
      </c>
      <c r="D119" s="282" t="s">
        <v>326</v>
      </c>
      <c r="E119" s="282" t="s">
        <v>480</v>
      </c>
      <c r="F119" s="284">
        <v>240</v>
      </c>
      <c r="G119" s="285">
        <f>('[1]Муниц прогр №0'!H29+'[1]Муниц прогр №0'!H33+'[1]Муниц прогр №0'!H34+'[1]Муниц прогр №0'!H35+'[1]Муниц прогр №0'!H36+'[1]Муниц прогр №0'!H37+'[1]Муниц прогр №0'!H38+'[1]Муниц прогр №0'!H39+'[1]Муниц прогр №0'!H40+'[1]Муниц прогр №0'!H41+'[1]Муниц прогр №0'!H58+'[1]Муниц прогр №0'!H59+'[1]Муниц прогр №0'!H60+'[1]Муниц прогр №0'!H61+'[1]Муниц прогр №0'!H62+'[1]Муниц прогр №0'!H63+'[1]Муниц прогр №0'!H64+'[1]Муниц прогр №0'!H65+'[1]Муниц прогр №0'!H66+'[1]Муниц прогр №0'!H67+'[1]Муниц прогр №0'!H68+'[1]Муниц прогр №0'!H69+'[1]Муниц прогр №0'!H70+'[1]Муниц прогр №0'!H71+'[1]Муниц прогр №0'!H72+'[1]Муниц прогр №0'!H73)</f>
        <v>0</v>
      </c>
      <c r="H119" s="285"/>
      <c r="I119" s="285"/>
    </row>
    <row r="120" spans="1:11" ht="25.5" x14ac:dyDescent="0.2">
      <c r="A120" s="278" t="s">
        <v>481</v>
      </c>
      <c r="B120" s="282" t="s">
        <v>472</v>
      </c>
      <c r="C120" s="283" t="s">
        <v>336</v>
      </c>
      <c r="D120" s="282" t="s">
        <v>326</v>
      </c>
      <c r="E120" s="282" t="s">
        <v>0</v>
      </c>
      <c r="F120" s="284"/>
      <c r="G120" s="285">
        <f>SUM(G121,G122,G123,G124,G127,G128,G129)</f>
        <v>576294697.11111999</v>
      </c>
      <c r="H120" s="285">
        <f>SUM(H121,H122,H124,H127,H128,H129)</f>
        <v>551510990.68711996</v>
      </c>
      <c r="I120" s="285">
        <f>SUM(I121,I122,I124,I127,I128,I129)</f>
        <v>556407447.68711996</v>
      </c>
      <c r="K120" s="161" t="s">
        <v>0</v>
      </c>
    </row>
    <row r="121" spans="1:11" ht="25.5" x14ac:dyDescent="0.2">
      <c r="A121" s="288" t="s">
        <v>453</v>
      </c>
      <c r="B121" s="286"/>
      <c r="C121" s="289" t="s">
        <v>336</v>
      </c>
      <c r="D121" s="286" t="s">
        <v>326</v>
      </c>
      <c r="E121" s="282" t="s">
        <v>482</v>
      </c>
      <c r="F121" s="284">
        <v>110</v>
      </c>
      <c r="G121" s="285">
        <f>'[1]прилож №13 гостан '!H44+'[1]прилож №13 гостан '!J44</f>
        <v>484814337.16211998</v>
      </c>
      <c r="H121" s="280">
        <f>'[1]прилож №13 гостан '!H44+'[1]прилож №13 гостан '!J44</f>
        <v>484814337.16211998</v>
      </c>
      <c r="I121" s="280">
        <f>H121</f>
        <v>484814337.16211998</v>
      </c>
    </row>
    <row r="122" spans="1:11" ht="25.5" x14ac:dyDescent="0.2">
      <c r="A122" s="288" t="s">
        <v>404</v>
      </c>
      <c r="B122" s="286"/>
      <c r="C122" s="289" t="s">
        <v>336</v>
      </c>
      <c r="D122" s="286" t="s">
        <v>326</v>
      </c>
      <c r="E122" s="282" t="s">
        <v>482</v>
      </c>
      <c r="F122" s="284">
        <v>240</v>
      </c>
      <c r="G122" s="285">
        <f>'[1]прилож №13 гостан '!N44+'[1]прилож №13 гостан '!O44+'[1]прилож №13 гостан '!P44</f>
        <v>9398662.5000000019</v>
      </c>
      <c r="H122" s="280">
        <f>G122</f>
        <v>9398662.5000000019</v>
      </c>
      <c r="I122" s="280">
        <f>G122</f>
        <v>9398662.5000000019</v>
      </c>
    </row>
    <row r="123" spans="1:11" ht="25.5" x14ac:dyDescent="0.2">
      <c r="A123" s="288" t="s">
        <v>404</v>
      </c>
      <c r="B123" s="286"/>
      <c r="C123" s="289" t="s">
        <v>336</v>
      </c>
      <c r="D123" s="286" t="s">
        <v>326</v>
      </c>
      <c r="E123" s="282" t="s">
        <v>483</v>
      </c>
      <c r="F123" s="284">
        <v>240</v>
      </c>
      <c r="G123" s="285">
        <f>[1]Школы!CG41+[1]Школы!CH41</f>
        <v>31499111.880000006</v>
      </c>
      <c r="H123" s="285">
        <f>[1]Школы!CI41</f>
        <v>1217700</v>
      </c>
      <c r="I123" s="285">
        <f>[1]Школы!CJ41</f>
        <v>83160</v>
      </c>
    </row>
    <row r="124" spans="1:11" ht="25.5" x14ac:dyDescent="0.2">
      <c r="A124" s="288" t="s">
        <v>453</v>
      </c>
      <c r="B124" s="286"/>
      <c r="C124" s="289" t="s">
        <v>336</v>
      </c>
      <c r="D124" s="286" t="s">
        <v>326</v>
      </c>
      <c r="E124" s="286" t="s">
        <v>484</v>
      </c>
      <c r="F124" s="287">
        <v>110</v>
      </c>
      <c r="G124" s="290">
        <f>SUM('[1]Свод образ'!AH12:AH14)</f>
        <v>21820865.127</v>
      </c>
      <c r="H124" s="280">
        <f>G124</f>
        <v>21820865.127</v>
      </c>
      <c r="I124" s="280">
        <f>G124</f>
        <v>21820865.127</v>
      </c>
    </row>
    <row r="125" spans="1:11" ht="25.5" x14ac:dyDescent="0.2">
      <c r="A125" s="281" t="s">
        <v>485</v>
      </c>
      <c r="B125" s="282" t="s">
        <v>472</v>
      </c>
      <c r="C125" s="283" t="s">
        <v>336</v>
      </c>
      <c r="D125" s="282" t="s">
        <v>326</v>
      </c>
      <c r="E125" s="282"/>
      <c r="F125" s="284">
        <v>110</v>
      </c>
      <c r="G125" s="285">
        <f>G126</f>
        <v>35688077.795999989</v>
      </c>
      <c r="H125" s="285">
        <f>H126</f>
        <v>35688077.795999989</v>
      </c>
      <c r="I125" s="285">
        <f>I126</f>
        <v>38382278</v>
      </c>
    </row>
    <row r="126" spans="1:11" ht="25.5" x14ac:dyDescent="0.2">
      <c r="A126" s="288" t="s">
        <v>453</v>
      </c>
      <c r="B126" s="286"/>
      <c r="C126" s="289" t="s">
        <v>336</v>
      </c>
      <c r="D126" s="286" t="s">
        <v>326</v>
      </c>
      <c r="E126" s="286" t="s">
        <v>486</v>
      </c>
      <c r="F126" s="287">
        <v>110</v>
      </c>
      <c r="G126" s="290">
        <f>'[1]прил №16 классное руководство'!D44</f>
        <v>35688077.795999989</v>
      </c>
      <c r="H126" s="290">
        <f>'[1]прил №16 классное руководство'!G44</f>
        <v>35688077.795999989</v>
      </c>
      <c r="I126" s="290">
        <v>38382278</v>
      </c>
    </row>
    <row r="127" spans="1:11" ht="25.5" x14ac:dyDescent="0.2">
      <c r="A127" s="288" t="s">
        <v>404</v>
      </c>
      <c r="B127" s="286"/>
      <c r="C127" s="289" t="s">
        <v>336</v>
      </c>
      <c r="D127" s="286" t="s">
        <v>326</v>
      </c>
      <c r="E127" s="286" t="s">
        <v>484</v>
      </c>
      <c r="F127" s="287">
        <v>240</v>
      </c>
      <c r="G127" s="290">
        <f>'[1]Свод образ'!AI15-G122-G123</f>
        <v>21391111.543999981</v>
      </c>
      <c r="H127" s="280">
        <v>28106517</v>
      </c>
      <c r="I127" s="280">
        <v>34447974</v>
      </c>
    </row>
    <row r="128" spans="1:11" x14ac:dyDescent="0.2">
      <c r="A128" s="288" t="s">
        <v>411</v>
      </c>
      <c r="B128" s="286"/>
      <c r="C128" s="289" t="s">
        <v>336</v>
      </c>
      <c r="D128" s="286" t="s">
        <v>326</v>
      </c>
      <c r="E128" s="286" t="s">
        <v>484</v>
      </c>
      <c r="F128" s="287">
        <v>850</v>
      </c>
      <c r="G128" s="290">
        <f>'[1]Свод образ'!AJ15</f>
        <v>5925608.898000001</v>
      </c>
      <c r="H128" s="280">
        <f>G128</f>
        <v>5925608.898000001</v>
      </c>
      <c r="I128" s="280">
        <f>G128</f>
        <v>5925608.898000001</v>
      </c>
    </row>
    <row r="129" spans="1:12" ht="25.5" x14ac:dyDescent="0.2">
      <c r="A129" s="288" t="s">
        <v>429</v>
      </c>
      <c r="B129" s="286" t="s">
        <v>397</v>
      </c>
      <c r="C129" s="289" t="s">
        <v>336</v>
      </c>
      <c r="D129" s="286" t="s">
        <v>326</v>
      </c>
      <c r="E129" s="286" t="s">
        <v>484</v>
      </c>
      <c r="F129" s="287">
        <v>400</v>
      </c>
      <c r="G129" s="290">
        <f>'[1]Свод образ'!AK15</f>
        <v>1445000</v>
      </c>
      <c r="H129" s="280">
        <f>G129</f>
        <v>1445000</v>
      </c>
      <c r="I129" s="280"/>
    </row>
    <row r="130" spans="1:12" x14ac:dyDescent="0.2">
      <c r="A130" s="296" t="s">
        <v>487</v>
      </c>
      <c r="B130" s="297" t="s">
        <v>472</v>
      </c>
      <c r="C130" s="298" t="s">
        <v>336</v>
      </c>
      <c r="D130" s="297" t="s">
        <v>328</v>
      </c>
      <c r="E130" s="286"/>
      <c r="F130" s="287"/>
      <c r="G130" s="299">
        <f>SUM(G131,G136)</f>
        <v>78764830</v>
      </c>
      <c r="H130" s="299">
        <f>SUM(H131,H136)</f>
        <v>77121451</v>
      </c>
      <c r="I130" s="299">
        <f>SUM(I131,I136)</f>
        <v>77121451</v>
      </c>
    </row>
    <row r="131" spans="1:12" x14ac:dyDescent="0.2">
      <c r="A131" s="300" t="s">
        <v>488</v>
      </c>
      <c r="B131" s="301" t="s">
        <v>472</v>
      </c>
      <c r="C131" s="298" t="s">
        <v>336</v>
      </c>
      <c r="D131" s="297" t="s">
        <v>328</v>
      </c>
      <c r="E131" s="297" t="s">
        <v>489</v>
      </c>
      <c r="F131" s="298" t="s">
        <v>402</v>
      </c>
      <c r="G131" s="285">
        <f>SUM(G132:G135)</f>
        <v>2870000</v>
      </c>
      <c r="H131" s="285">
        <f>SUM(H132:H135)</f>
        <v>2870000</v>
      </c>
      <c r="I131" s="285">
        <f>SUM(I132:I135)</f>
        <v>2870000</v>
      </c>
    </row>
    <row r="132" spans="1:12" ht="25.5" x14ac:dyDescent="0.2">
      <c r="A132" s="288" t="s">
        <v>453</v>
      </c>
      <c r="B132" s="282"/>
      <c r="C132" s="289" t="s">
        <v>336</v>
      </c>
      <c r="D132" s="286" t="s">
        <v>328</v>
      </c>
      <c r="E132" s="286" t="s">
        <v>490</v>
      </c>
      <c r="F132" s="287">
        <v>110</v>
      </c>
      <c r="G132" s="285">
        <f>'[1]Свод образ'!AH23</f>
        <v>0</v>
      </c>
      <c r="H132" s="285">
        <f>'[1]Свод образ'!AH23</f>
        <v>0</v>
      </c>
      <c r="I132" s="285">
        <f>'[1]Свод образ'!AH23</f>
        <v>0</v>
      </c>
    </row>
    <row r="133" spans="1:12" ht="25.5" x14ac:dyDescent="0.2">
      <c r="A133" s="288" t="s">
        <v>404</v>
      </c>
      <c r="B133" s="282"/>
      <c r="C133" s="289" t="s">
        <v>336</v>
      </c>
      <c r="D133" s="286" t="s">
        <v>328</v>
      </c>
      <c r="E133" s="286" t="s">
        <v>490</v>
      </c>
      <c r="F133" s="287">
        <v>240</v>
      </c>
      <c r="G133" s="285">
        <f>'[1]Свод образ'!AI23</f>
        <v>2870000</v>
      </c>
      <c r="H133" s="285">
        <f>G133</f>
        <v>2870000</v>
      </c>
      <c r="I133" s="285">
        <f>G133</f>
        <v>2870000</v>
      </c>
      <c r="L133" s="161" t="s">
        <v>0</v>
      </c>
    </row>
    <row r="134" spans="1:12" x14ac:dyDescent="0.2">
      <c r="A134" s="288" t="s">
        <v>411</v>
      </c>
      <c r="B134" s="282"/>
      <c r="C134" s="289" t="s">
        <v>336</v>
      </c>
      <c r="D134" s="286" t="s">
        <v>328</v>
      </c>
      <c r="E134" s="286" t="s">
        <v>490</v>
      </c>
      <c r="F134" s="287">
        <v>850</v>
      </c>
      <c r="G134" s="290">
        <f>'[1]Свод образ'!AJ23</f>
        <v>0</v>
      </c>
      <c r="H134" s="285">
        <f>G134</f>
        <v>0</v>
      </c>
      <c r="I134" s="285">
        <f>G134</f>
        <v>0</v>
      </c>
    </row>
    <row r="135" spans="1:12" ht="25.5" x14ac:dyDescent="0.2">
      <c r="A135" s="288" t="s">
        <v>429</v>
      </c>
      <c r="B135" s="282" t="s">
        <v>397</v>
      </c>
      <c r="C135" s="289" t="s">
        <v>336</v>
      </c>
      <c r="D135" s="286" t="s">
        <v>328</v>
      </c>
      <c r="E135" s="286" t="s">
        <v>490</v>
      </c>
      <c r="F135" s="287">
        <v>400</v>
      </c>
      <c r="G135" s="290">
        <f>'[1]Свод образ'!AK23</f>
        <v>0</v>
      </c>
      <c r="H135" s="280">
        <v>0</v>
      </c>
      <c r="I135" s="280">
        <v>0</v>
      </c>
      <c r="L135" s="161" t="s">
        <v>0</v>
      </c>
    </row>
    <row r="136" spans="1:12" x14ac:dyDescent="0.2">
      <c r="A136" s="281" t="s">
        <v>491</v>
      </c>
      <c r="B136" s="282" t="s">
        <v>472</v>
      </c>
      <c r="C136" s="298" t="s">
        <v>336</v>
      </c>
      <c r="D136" s="297" t="s">
        <v>328</v>
      </c>
      <c r="E136" s="297" t="s">
        <v>490</v>
      </c>
      <c r="F136" s="298" t="s">
        <v>402</v>
      </c>
      <c r="G136" s="299">
        <f>SUM(G137:G139)</f>
        <v>75894830</v>
      </c>
      <c r="H136" s="299">
        <f>SUM(H137:H139)</f>
        <v>74251451</v>
      </c>
      <c r="I136" s="299">
        <f>SUM(I137:I139)</f>
        <v>74251451</v>
      </c>
    </row>
    <row r="137" spans="1:12" ht="25.5" x14ac:dyDescent="0.2">
      <c r="A137" s="291" t="s">
        <v>439</v>
      </c>
      <c r="B137" s="282" t="s">
        <v>472</v>
      </c>
      <c r="C137" s="289" t="s">
        <v>336</v>
      </c>
      <c r="D137" s="286" t="s">
        <v>328</v>
      </c>
      <c r="E137" s="286" t="s">
        <v>490</v>
      </c>
      <c r="F137" s="287">
        <v>611</v>
      </c>
      <c r="G137" s="290">
        <f>'[1]Внешколь учр МБУ'!AN55</f>
        <v>65719195</v>
      </c>
      <c r="H137" s="290">
        <v>64075816</v>
      </c>
      <c r="I137" s="290">
        <f>H137</f>
        <v>64075816</v>
      </c>
    </row>
    <row r="138" spans="1:12" x14ac:dyDescent="0.2">
      <c r="A138" s="288" t="s">
        <v>39</v>
      </c>
      <c r="B138" s="282" t="s">
        <v>472</v>
      </c>
      <c r="C138" s="289" t="s">
        <v>336</v>
      </c>
      <c r="D138" s="286" t="s">
        <v>328</v>
      </c>
      <c r="E138" s="286" t="s">
        <v>490</v>
      </c>
      <c r="F138" s="287">
        <v>612</v>
      </c>
      <c r="G138" s="290">
        <f>'[1]Внешколь учр МБУ'!U57</f>
        <v>800000</v>
      </c>
      <c r="H138" s="290">
        <f>G138</f>
        <v>800000</v>
      </c>
      <c r="I138" s="290">
        <f>H138</f>
        <v>800000</v>
      </c>
    </row>
    <row r="139" spans="1:12" x14ac:dyDescent="0.2">
      <c r="A139" s="288" t="s">
        <v>492</v>
      </c>
      <c r="B139" s="282"/>
      <c r="C139" s="289" t="s">
        <v>336</v>
      </c>
      <c r="D139" s="286" t="s">
        <v>328</v>
      </c>
      <c r="E139" s="286" t="s">
        <v>493</v>
      </c>
      <c r="F139" s="287">
        <v>611</v>
      </c>
      <c r="G139" s="290">
        <f>'[1]Внешколь учр МБУ'!AN59+'[1]Внешколь учр МБУ'!AN54</f>
        <v>9375635</v>
      </c>
      <c r="H139" s="290">
        <f>G139</f>
        <v>9375635</v>
      </c>
      <c r="I139" s="290">
        <f>H139</f>
        <v>9375635</v>
      </c>
    </row>
    <row r="140" spans="1:12" x14ac:dyDescent="0.2">
      <c r="A140" s="281" t="s">
        <v>366</v>
      </c>
      <c r="B140" s="286" t="s">
        <v>397</v>
      </c>
      <c r="C140" s="283" t="s">
        <v>336</v>
      </c>
      <c r="D140" s="282" t="s">
        <v>336</v>
      </c>
      <c r="E140" s="204" t="s">
        <v>0</v>
      </c>
      <c r="F140" s="287"/>
      <c r="G140" s="285">
        <f>SUM(G141)</f>
        <v>0</v>
      </c>
      <c r="H140" s="285">
        <f>SUM(H141)</f>
        <v>0</v>
      </c>
      <c r="I140" s="285">
        <f>SUM(I141)</f>
        <v>0</v>
      </c>
    </row>
    <row r="141" spans="1:12" x14ac:dyDescent="0.2">
      <c r="A141" s="281" t="s">
        <v>494</v>
      </c>
      <c r="B141" s="286" t="s">
        <v>397</v>
      </c>
      <c r="C141" s="283" t="s">
        <v>336</v>
      </c>
      <c r="D141" s="282" t="s">
        <v>336</v>
      </c>
      <c r="E141" s="282" t="s">
        <v>495</v>
      </c>
      <c r="F141" s="284"/>
      <c r="G141" s="285">
        <f>G142</f>
        <v>0</v>
      </c>
      <c r="H141" s="285">
        <f>H142</f>
        <v>0</v>
      </c>
      <c r="I141" s="285">
        <f>I142</f>
        <v>0</v>
      </c>
    </row>
    <row r="142" spans="1:12" ht="25.5" x14ac:dyDescent="0.2">
      <c r="A142" s="288" t="s">
        <v>404</v>
      </c>
      <c r="B142" s="286"/>
      <c r="C142" s="289" t="s">
        <v>336</v>
      </c>
      <c r="D142" s="286" t="s">
        <v>336</v>
      </c>
      <c r="E142" s="286" t="s">
        <v>495</v>
      </c>
      <c r="F142" s="287">
        <v>240</v>
      </c>
      <c r="G142" s="290">
        <f>'[1]Свод образ'!AI25</f>
        <v>0</v>
      </c>
      <c r="H142" s="280">
        <f>G142</f>
        <v>0</v>
      </c>
      <c r="I142" s="280">
        <f>H142</f>
        <v>0</v>
      </c>
    </row>
    <row r="143" spans="1:12" x14ac:dyDescent="0.2">
      <c r="A143" s="281" t="s">
        <v>367</v>
      </c>
      <c r="B143" s="286" t="s">
        <v>472</v>
      </c>
      <c r="C143" s="283" t="s">
        <v>336</v>
      </c>
      <c r="D143" s="282" t="s">
        <v>354</v>
      </c>
      <c r="E143" s="282" t="s">
        <v>0</v>
      </c>
      <c r="F143" s="284"/>
      <c r="G143" s="285">
        <f>SUM(G144,G148)</f>
        <v>9812820.2060400005</v>
      </c>
      <c r="H143" s="285">
        <f>SUM(H144,H148)</f>
        <v>9812820.2060400005</v>
      </c>
      <c r="I143" s="285">
        <f>SUM(I144,I148)</f>
        <v>9812820.2060400005</v>
      </c>
    </row>
    <row r="144" spans="1:12" x14ac:dyDescent="0.2">
      <c r="A144" s="278" t="s">
        <v>496</v>
      </c>
      <c r="B144" s="286" t="s">
        <v>472</v>
      </c>
      <c r="C144" s="283" t="s">
        <v>336</v>
      </c>
      <c r="D144" s="282" t="s">
        <v>354</v>
      </c>
      <c r="E144" s="282" t="s">
        <v>410</v>
      </c>
      <c r="F144" s="283" t="s">
        <v>402</v>
      </c>
      <c r="G144" s="285">
        <f>SUM(G145:G147)</f>
        <v>2684726.3880400001</v>
      </c>
      <c r="H144" s="285">
        <f>SUM(H145:H147)</f>
        <v>2684726.3880400001</v>
      </c>
      <c r="I144" s="285">
        <f>SUM(I145:I147)</f>
        <v>2684726.3880400001</v>
      </c>
    </row>
    <row r="145" spans="1:13" ht="25.5" x14ac:dyDescent="0.2">
      <c r="A145" s="288" t="s">
        <v>403</v>
      </c>
      <c r="B145" s="286"/>
      <c r="C145" s="289" t="s">
        <v>336</v>
      </c>
      <c r="D145" s="286" t="s">
        <v>354</v>
      </c>
      <c r="E145" s="286" t="s">
        <v>410</v>
      </c>
      <c r="F145" s="287">
        <v>120</v>
      </c>
      <c r="G145" s="290">
        <f>'[1]Свод образ'!AH24</f>
        <v>2433211.9438399998</v>
      </c>
      <c r="H145" s="280">
        <f>G145</f>
        <v>2433211.9438399998</v>
      </c>
      <c r="I145" s="280">
        <f>G145</f>
        <v>2433211.9438399998</v>
      </c>
    </row>
    <row r="146" spans="1:13" ht="25.5" x14ac:dyDescent="0.2">
      <c r="A146" s="288" t="s">
        <v>404</v>
      </c>
      <c r="B146" s="286"/>
      <c r="C146" s="289" t="s">
        <v>336</v>
      </c>
      <c r="D146" s="286" t="s">
        <v>354</v>
      </c>
      <c r="E146" s="286" t="s">
        <v>410</v>
      </c>
      <c r="F146" s="287">
        <v>240</v>
      </c>
      <c r="G146" s="290">
        <f>'[1]Свод образ'!AI24</f>
        <v>251514.44420000026</v>
      </c>
      <c r="H146" s="280">
        <f>G146</f>
        <v>251514.44420000026</v>
      </c>
      <c r="I146" s="280">
        <f>G146</f>
        <v>251514.44420000026</v>
      </c>
    </row>
    <row r="147" spans="1:13" x14ac:dyDescent="0.2">
      <c r="A147" s="288" t="s">
        <v>411</v>
      </c>
      <c r="B147" s="286"/>
      <c r="C147" s="289" t="s">
        <v>336</v>
      </c>
      <c r="D147" s="286" t="s">
        <v>354</v>
      </c>
      <c r="E147" s="286" t="s">
        <v>410</v>
      </c>
      <c r="F147" s="287">
        <v>850</v>
      </c>
      <c r="G147" s="290">
        <f>'[1]Свод образ'!AJ24</f>
        <v>0</v>
      </c>
      <c r="H147" s="280">
        <f>G147</f>
        <v>0</v>
      </c>
      <c r="I147" s="280">
        <f>G147</f>
        <v>0</v>
      </c>
    </row>
    <row r="148" spans="1:13" ht="25.5" x14ac:dyDescent="0.2">
      <c r="A148" s="302" t="s">
        <v>497</v>
      </c>
      <c r="B148" s="286" t="s">
        <v>472</v>
      </c>
      <c r="C148" s="283" t="s">
        <v>336</v>
      </c>
      <c r="D148" s="282" t="s">
        <v>354</v>
      </c>
      <c r="E148" s="282" t="s">
        <v>498</v>
      </c>
      <c r="F148" s="289" t="s">
        <v>402</v>
      </c>
      <c r="G148" s="285">
        <f>SUM(G149:G150:G151)</f>
        <v>7128093.818</v>
      </c>
      <c r="H148" s="285">
        <f>SUM(H149:H150:H151)</f>
        <v>7128093.818</v>
      </c>
      <c r="I148" s="285">
        <f>SUM(I149:I150:I151)</f>
        <v>7128093.818</v>
      </c>
    </row>
    <row r="149" spans="1:13" ht="25.5" x14ac:dyDescent="0.2">
      <c r="A149" s="288" t="s">
        <v>453</v>
      </c>
      <c r="B149" s="286" t="s">
        <v>0</v>
      </c>
      <c r="C149" s="289" t="s">
        <v>336</v>
      </c>
      <c r="D149" s="286" t="s">
        <v>354</v>
      </c>
      <c r="E149" s="286" t="s">
        <v>498</v>
      </c>
      <c r="F149" s="287">
        <v>110</v>
      </c>
      <c r="G149" s="290">
        <f>'[1]Свод образ'!AH22</f>
        <v>5931277.8159999996</v>
      </c>
      <c r="H149" s="280">
        <f t="shared" ref="H149:I151" si="6">G149</f>
        <v>5931277.8159999996</v>
      </c>
      <c r="I149" s="280">
        <f t="shared" si="6"/>
        <v>5931277.8159999996</v>
      </c>
    </row>
    <row r="150" spans="1:13" ht="25.5" x14ac:dyDescent="0.2">
      <c r="A150" s="288" t="s">
        <v>404</v>
      </c>
      <c r="B150" s="286"/>
      <c r="C150" s="289" t="s">
        <v>336</v>
      </c>
      <c r="D150" s="286" t="s">
        <v>354</v>
      </c>
      <c r="E150" s="286" t="s">
        <v>498</v>
      </c>
      <c r="F150" s="287">
        <v>240</v>
      </c>
      <c r="G150" s="290">
        <f>'[1]Свод образ'!AI22</f>
        <v>1061036.0020000003</v>
      </c>
      <c r="H150" s="280">
        <f t="shared" si="6"/>
        <v>1061036.0020000003</v>
      </c>
      <c r="I150" s="280">
        <f t="shared" si="6"/>
        <v>1061036.0020000003</v>
      </c>
    </row>
    <row r="151" spans="1:13" x14ac:dyDescent="0.2">
      <c r="A151" s="288" t="s">
        <v>411</v>
      </c>
      <c r="B151" s="286"/>
      <c r="C151" s="289" t="s">
        <v>336</v>
      </c>
      <c r="D151" s="286" t="s">
        <v>354</v>
      </c>
      <c r="E151" s="286" t="s">
        <v>498</v>
      </c>
      <c r="F151" s="287">
        <v>850</v>
      </c>
      <c r="G151" s="290">
        <f>'[1]Свод образ'!AJ22</f>
        <v>135780</v>
      </c>
      <c r="H151" s="280">
        <f t="shared" si="6"/>
        <v>135780</v>
      </c>
      <c r="I151" s="280">
        <f t="shared" si="6"/>
        <v>135780</v>
      </c>
    </row>
    <row r="152" spans="1:13" ht="25.5" x14ac:dyDescent="0.2">
      <c r="A152" s="303" t="s">
        <v>499</v>
      </c>
      <c r="B152" s="282" t="s">
        <v>500</v>
      </c>
      <c r="C152" s="289"/>
      <c r="D152" s="286"/>
      <c r="E152" s="282" t="s">
        <v>501</v>
      </c>
      <c r="F152" s="287"/>
      <c r="G152" s="290"/>
      <c r="H152" s="280"/>
      <c r="I152" s="280"/>
    </row>
    <row r="153" spans="1:13" x14ac:dyDescent="0.2">
      <c r="A153" s="304" t="s">
        <v>502</v>
      </c>
      <c r="B153" s="282" t="s">
        <v>500</v>
      </c>
      <c r="C153" s="283" t="s">
        <v>352</v>
      </c>
      <c r="D153" s="282" t="s">
        <v>398</v>
      </c>
      <c r="E153" s="282" t="s">
        <v>501</v>
      </c>
      <c r="F153" s="284"/>
      <c r="G153" s="285">
        <f>G154</f>
        <v>29919012.8116</v>
      </c>
      <c r="H153" s="285">
        <f>H154</f>
        <v>29919012.8116</v>
      </c>
      <c r="I153" s="285">
        <f>I154</f>
        <v>29919012.8116</v>
      </c>
    </row>
    <row r="154" spans="1:13" x14ac:dyDescent="0.2">
      <c r="A154" s="304" t="s">
        <v>503</v>
      </c>
      <c r="B154" s="282" t="s">
        <v>500</v>
      </c>
      <c r="C154" s="283" t="s">
        <v>352</v>
      </c>
      <c r="D154" s="282" t="s">
        <v>324</v>
      </c>
      <c r="E154" s="282" t="s">
        <v>501</v>
      </c>
      <c r="F154" s="284"/>
      <c r="G154" s="285">
        <f>G155+G160+G164</f>
        <v>29919012.8116</v>
      </c>
      <c r="H154" s="285">
        <f t="shared" ref="H154:I154" si="7">H155+H160+H164</f>
        <v>29919012.8116</v>
      </c>
      <c r="I154" s="285">
        <f t="shared" si="7"/>
        <v>29919012.8116</v>
      </c>
    </row>
    <row r="155" spans="1:13" x14ac:dyDescent="0.2">
      <c r="A155" s="304" t="s">
        <v>504</v>
      </c>
      <c r="B155" s="282" t="s">
        <v>500</v>
      </c>
      <c r="C155" s="283" t="s">
        <v>352</v>
      </c>
      <c r="D155" s="282" t="s">
        <v>324</v>
      </c>
      <c r="E155" s="282" t="s">
        <v>505</v>
      </c>
      <c r="F155" s="289" t="s">
        <v>402</v>
      </c>
      <c r="G155" s="285">
        <f>SUM(G156:G159)</f>
        <v>14762675.354800001</v>
      </c>
      <c r="H155" s="285">
        <f>SUM(H156:H159)</f>
        <v>14762675.354800001</v>
      </c>
      <c r="I155" s="285">
        <f>SUM(I156:I159)</f>
        <v>14762675.354800001</v>
      </c>
    </row>
    <row r="156" spans="1:13" ht="25.5" x14ac:dyDescent="0.2">
      <c r="A156" s="288" t="s">
        <v>453</v>
      </c>
      <c r="B156" s="286" t="s">
        <v>500</v>
      </c>
      <c r="C156" s="289" t="s">
        <v>352</v>
      </c>
      <c r="D156" s="286" t="s">
        <v>324</v>
      </c>
      <c r="E156" s="286" t="s">
        <v>505</v>
      </c>
      <c r="F156" s="287">
        <v>110</v>
      </c>
      <c r="G156" s="290">
        <f>'[1]Свод культ'!AI7</f>
        <v>12388511.244800001</v>
      </c>
      <c r="H156" s="280">
        <f>G156</f>
        <v>12388511.244800001</v>
      </c>
      <c r="I156" s="280">
        <f>G156</f>
        <v>12388511.244800001</v>
      </c>
      <c r="M156" s="161" t="s">
        <v>0</v>
      </c>
    </row>
    <row r="157" spans="1:13" ht="25.5" x14ac:dyDescent="0.2">
      <c r="A157" s="288" t="s">
        <v>404</v>
      </c>
      <c r="B157" s="286"/>
      <c r="C157" s="289" t="s">
        <v>352</v>
      </c>
      <c r="D157" s="286" t="s">
        <v>324</v>
      </c>
      <c r="E157" s="286" t="s">
        <v>505</v>
      </c>
      <c r="F157" s="287">
        <v>240</v>
      </c>
      <c r="G157" s="290">
        <f>'[1]Свод культ'!AJ7</f>
        <v>2258045.2599999993</v>
      </c>
      <c r="H157" s="280">
        <f>G157</f>
        <v>2258045.2599999993</v>
      </c>
      <c r="I157" s="280">
        <f>G157</f>
        <v>2258045.2599999993</v>
      </c>
    </row>
    <row r="158" spans="1:13" ht="25.5" x14ac:dyDescent="0.2">
      <c r="A158" s="288" t="s">
        <v>429</v>
      </c>
      <c r="B158" s="286"/>
      <c r="C158" s="289" t="s">
        <v>352</v>
      </c>
      <c r="D158" s="286" t="s">
        <v>324</v>
      </c>
      <c r="E158" s="286" t="s">
        <v>505</v>
      </c>
      <c r="F158" s="287">
        <v>400</v>
      </c>
      <c r="G158" s="290">
        <f>'[1]Свод культ'!AK7</f>
        <v>0</v>
      </c>
      <c r="H158" s="280">
        <f>G158</f>
        <v>0</v>
      </c>
      <c r="I158" s="280">
        <f>G158</f>
        <v>0</v>
      </c>
    </row>
    <row r="159" spans="1:13" x14ac:dyDescent="0.2">
      <c r="A159" s="288" t="s">
        <v>411</v>
      </c>
      <c r="B159" s="286"/>
      <c r="C159" s="289" t="s">
        <v>352</v>
      </c>
      <c r="D159" s="286" t="s">
        <v>324</v>
      </c>
      <c r="E159" s="286" t="s">
        <v>505</v>
      </c>
      <c r="F159" s="287">
        <v>850</v>
      </c>
      <c r="G159" s="290">
        <f>'[1]Свод культ'!AL7</f>
        <v>116118.85</v>
      </c>
      <c r="H159" s="280">
        <f>G159</f>
        <v>116118.85</v>
      </c>
      <c r="I159" s="280">
        <f>G159</f>
        <v>116118.85</v>
      </c>
    </row>
    <row r="160" spans="1:13" ht="25.5" x14ac:dyDescent="0.2">
      <c r="A160" s="305" t="s">
        <v>506</v>
      </c>
      <c r="B160" s="282" t="s">
        <v>500</v>
      </c>
      <c r="C160" s="283" t="s">
        <v>352</v>
      </c>
      <c r="D160" s="282" t="s">
        <v>324</v>
      </c>
      <c r="E160" s="282" t="s">
        <v>507</v>
      </c>
      <c r="F160" s="284"/>
      <c r="G160" s="285">
        <f>SUM(G161:G163)</f>
        <v>12590095.378800001</v>
      </c>
      <c r="H160" s="285">
        <f>SUM(H161:H163)</f>
        <v>12590095.378800001</v>
      </c>
      <c r="I160" s="285">
        <f>SUM(I161:I163)</f>
        <v>12590095.378800001</v>
      </c>
    </row>
    <row r="161" spans="1:11" ht="25.5" x14ac:dyDescent="0.2">
      <c r="A161" s="288" t="s">
        <v>453</v>
      </c>
      <c r="B161" s="286" t="s">
        <v>0</v>
      </c>
      <c r="C161" s="289" t="s">
        <v>352</v>
      </c>
      <c r="D161" s="286" t="s">
        <v>324</v>
      </c>
      <c r="E161" s="286" t="s">
        <v>507</v>
      </c>
      <c r="F161" s="287">
        <v>110</v>
      </c>
      <c r="G161" s="290">
        <f>'[1]Свод культ'!AI11+'[1]Свод культ'!AI12</f>
        <v>12239720.628800001</v>
      </c>
      <c r="H161" s="280">
        <f t="shared" ref="H161:I163" si="8">G161</f>
        <v>12239720.628800001</v>
      </c>
      <c r="I161" s="280">
        <f t="shared" si="8"/>
        <v>12239720.628800001</v>
      </c>
    </row>
    <row r="162" spans="1:11" ht="25.5" x14ac:dyDescent="0.2">
      <c r="A162" s="288" t="s">
        <v>404</v>
      </c>
      <c r="B162" s="286" t="s">
        <v>0</v>
      </c>
      <c r="C162" s="289" t="s">
        <v>352</v>
      </c>
      <c r="D162" s="286" t="s">
        <v>324</v>
      </c>
      <c r="E162" s="286" t="s">
        <v>507</v>
      </c>
      <c r="F162" s="287">
        <v>240</v>
      </c>
      <c r="G162" s="290">
        <f>'[1]Свод культ'!AJ11+'[1]Свод культ'!AJ12</f>
        <v>247099.5</v>
      </c>
      <c r="H162" s="280">
        <f t="shared" si="8"/>
        <v>247099.5</v>
      </c>
      <c r="I162" s="280">
        <f t="shared" si="8"/>
        <v>247099.5</v>
      </c>
    </row>
    <row r="163" spans="1:11" x14ac:dyDescent="0.2">
      <c r="A163" s="288" t="s">
        <v>411</v>
      </c>
      <c r="B163" s="286" t="s">
        <v>0</v>
      </c>
      <c r="C163" s="289" t="s">
        <v>352</v>
      </c>
      <c r="D163" s="286" t="s">
        <v>324</v>
      </c>
      <c r="E163" s="286" t="s">
        <v>507</v>
      </c>
      <c r="F163" s="287">
        <v>850</v>
      </c>
      <c r="G163" s="290">
        <f>'[1]Свод культ'!AL11+'[1]Свод культ'!AL12</f>
        <v>103275.25</v>
      </c>
      <c r="H163" s="280">
        <f t="shared" si="8"/>
        <v>103275.25</v>
      </c>
      <c r="I163" s="280">
        <f t="shared" si="8"/>
        <v>103275.25</v>
      </c>
    </row>
    <row r="164" spans="1:11" ht="25.5" x14ac:dyDescent="0.2">
      <c r="A164" s="278" t="s">
        <v>508</v>
      </c>
      <c r="B164" s="282" t="s">
        <v>500</v>
      </c>
      <c r="C164" s="283" t="s">
        <v>352</v>
      </c>
      <c r="D164" s="282" t="s">
        <v>324</v>
      </c>
      <c r="E164" s="282" t="s">
        <v>509</v>
      </c>
      <c r="F164" s="284"/>
      <c r="G164" s="285">
        <f>G165+G166</f>
        <v>2566242.0779999997</v>
      </c>
      <c r="H164" s="285">
        <f t="shared" ref="H164:I164" si="9">H165+H166</f>
        <v>2566242.0779999997</v>
      </c>
      <c r="I164" s="285">
        <f t="shared" si="9"/>
        <v>2566242.0779999997</v>
      </c>
    </row>
    <row r="165" spans="1:11" ht="25.5" x14ac:dyDescent="0.2">
      <c r="A165" s="288" t="s">
        <v>453</v>
      </c>
      <c r="B165" s="286"/>
      <c r="C165" s="289" t="s">
        <v>352</v>
      </c>
      <c r="D165" s="286" t="s">
        <v>324</v>
      </c>
      <c r="E165" s="286" t="s">
        <v>509</v>
      </c>
      <c r="F165" s="287">
        <v>110</v>
      </c>
      <c r="G165" s="290">
        <f>'[1]МКУ "Истор краев музей" АМР '!AC7</f>
        <v>1975178.2679999999</v>
      </c>
      <c r="H165" s="280">
        <f>G165</f>
        <v>1975178.2679999999</v>
      </c>
      <c r="I165" s="280">
        <f>G165</f>
        <v>1975178.2679999999</v>
      </c>
    </row>
    <row r="166" spans="1:11" ht="25.5" x14ac:dyDescent="0.2">
      <c r="A166" s="288" t="s">
        <v>404</v>
      </c>
      <c r="B166" s="286"/>
      <c r="C166" s="289" t="s">
        <v>352</v>
      </c>
      <c r="D166" s="286" t="s">
        <v>324</v>
      </c>
      <c r="E166" s="286" t="s">
        <v>509</v>
      </c>
      <c r="F166" s="287">
        <v>240</v>
      </c>
      <c r="G166" s="290">
        <f>'[1]МКУ "Истор краев музей" АМР '!AD7</f>
        <v>591063.80999999982</v>
      </c>
      <c r="H166" s="280">
        <f>G166</f>
        <v>591063.80999999982</v>
      </c>
      <c r="I166" s="280">
        <f>H166</f>
        <v>591063.80999999982</v>
      </c>
    </row>
    <row r="167" spans="1:11" x14ac:dyDescent="0.2">
      <c r="A167" s="281" t="s">
        <v>42</v>
      </c>
      <c r="B167" s="282" t="s">
        <v>402</v>
      </c>
      <c r="C167" s="283" t="s">
        <v>43</v>
      </c>
      <c r="D167" s="282" t="s">
        <v>398</v>
      </c>
      <c r="E167" s="282" t="s">
        <v>510</v>
      </c>
      <c r="F167" s="284"/>
      <c r="G167" s="285">
        <f>SUM(G168,G171,G175,G181)</f>
        <v>6734796</v>
      </c>
      <c r="H167" s="285">
        <f>SUM(H168,H171,H175,H181)</f>
        <v>8008354</v>
      </c>
      <c r="I167" s="285">
        <f>SUM(I168,I171,I175,I181)</f>
        <v>8008354</v>
      </c>
    </row>
    <row r="168" spans="1:11" x14ac:dyDescent="0.2">
      <c r="A168" s="281" t="s">
        <v>372</v>
      </c>
      <c r="B168" s="282" t="s">
        <v>397</v>
      </c>
      <c r="C168" s="283" t="s">
        <v>43</v>
      </c>
      <c r="D168" s="282" t="s">
        <v>324</v>
      </c>
      <c r="E168" s="282" t="s">
        <v>510</v>
      </c>
      <c r="F168" s="284"/>
      <c r="G168" s="285">
        <f t="shared" ref="G168:I169" si="10">G169</f>
        <v>2297796</v>
      </c>
      <c r="H168" s="285">
        <f t="shared" si="10"/>
        <v>2297796</v>
      </c>
      <c r="I168" s="285">
        <f t="shared" si="10"/>
        <v>2297796</v>
      </c>
    </row>
    <row r="169" spans="1:11" x14ac:dyDescent="0.2">
      <c r="A169" s="281" t="s">
        <v>44</v>
      </c>
      <c r="B169" s="286" t="s">
        <v>397</v>
      </c>
      <c r="C169" s="289" t="s">
        <v>43</v>
      </c>
      <c r="D169" s="286" t="s">
        <v>324</v>
      </c>
      <c r="E169" s="286" t="s">
        <v>511</v>
      </c>
      <c r="F169" s="287"/>
      <c r="G169" s="285">
        <f t="shared" si="10"/>
        <v>2297796</v>
      </c>
      <c r="H169" s="285">
        <f t="shared" si="10"/>
        <v>2297796</v>
      </c>
      <c r="I169" s="285">
        <f t="shared" si="10"/>
        <v>2297796</v>
      </c>
    </row>
    <row r="170" spans="1:11" x14ac:dyDescent="0.2">
      <c r="A170" s="288" t="s">
        <v>512</v>
      </c>
      <c r="B170" s="286" t="s">
        <v>0</v>
      </c>
      <c r="C170" s="289" t="s">
        <v>43</v>
      </c>
      <c r="D170" s="286" t="s">
        <v>324</v>
      </c>
      <c r="E170" s="286" t="s">
        <v>511</v>
      </c>
      <c r="F170" s="287">
        <v>300</v>
      </c>
      <c r="G170" s="290">
        <f>[1]Сводсоцпол!H7</f>
        <v>2297796</v>
      </c>
      <c r="H170" s="280">
        <f>G170</f>
        <v>2297796</v>
      </c>
      <c r="I170" s="280">
        <f>G170</f>
        <v>2297796</v>
      </c>
    </row>
    <row r="171" spans="1:11" x14ac:dyDescent="0.2">
      <c r="A171" s="281" t="s">
        <v>374</v>
      </c>
      <c r="B171" s="282"/>
      <c r="C171" s="283" t="s">
        <v>43</v>
      </c>
      <c r="D171" s="282" t="s">
        <v>328</v>
      </c>
      <c r="E171" s="282"/>
      <c r="F171" s="287"/>
      <c r="G171" s="285">
        <f>G172</f>
        <v>24000</v>
      </c>
      <c r="H171" s="285">
        <f>H172</f>
        <v>24000</v>
      </c>
      <c r="I171" s="285">
        <f>I172</f>
        <v>24000</v>
      </c>
    </row>
    <row r="172" spans="1:11" ht="25.5" x14ac:dyDescent="0.2">
      <c r="A172" s="281" t="s">
        <v>513</v>
      </c>
      <c r="B172" s="282" t="s">
        <v>397</v>
      </c>
      <c r="C172" s="283" t="s">
        <v>43</v>
      </c>
      <c r="D172" s="282" t="s">
        <v>328</v>
      </c>
      <c r="E172" s="282" t="s">
        <v>510</v>
      </c>
      <c r="F172" s="283" t="s">
        <v>402</v>
      </c>
      <c r="G172" s="285">
        <f>SUM(G173:G174)</f>
        <v>24000</v>
      </c>
      <c r="H172" s="285">
        <f>SUM(H173:H174)</f>
        <v>24000</v>
      </c>
      <c r="I172" s="285">
        <f>SUM(I173:I174)</f>
        <v>24000</v>
      </c>
    </row>
    <row r="173" spans="1:11" x14ac:dyDescent="0.2">
      <c r="A173" s="288" t="s">
        <v>512</v>
      </c>
      <c r="B173" s="286" t="s">
        <v>0</v>
      </c>
      <c r="C173" s="289" t="s">
        <v>43</v>
      </c>
      <c r="D173" s="286" t="s">
        <v>328</v>
      </c>
      <c r="E173" s="286" t="s">
        <v>514</v>
      </c>
      <c r="F173" s="287">
        <v>300</v>
      </c>
      <c r="G173" s="290">
        <f>[1]Сводсоцпол!H8+[1]Сводсоцпол!H9</f>
        <v>24000</v>
      </c>
      <c r="H173" s="280">
        <f>G173</f>
        <v>24000</v>
      </c>
      <c r="I173" s="280">
        <f>H173</f>
        <v>24000</v>
      </c>
      <c r="K173" s="161" t="s">
        <v>0</v>
      </c>
    </row>
    <row r="174" spans="1:11" x14ac:dyDescent="0.2">
      <c r="A174" s="288"/>
      <c r="B174" s="286"/>
      <c r="C174" s="289"/>
      <c r="D174" s="286"/>
      <c r="E174" s="286"/>
      <c r="F174" s="287"/>
      <c r="G174" s="290"/>
      <c r="H174" s="280"/>
      <c r="I174" s="280"/>
    </row>
    <row r="175" spans="1:11" x14ac:dyDescent="0.2">
      <c r="A175" s="296" t="s">
        <v>375</v>
      </c>
      <c r="B175" s="286"/>
      <c r="C175" s="283" t="s">
        <v>43</v>
      </c>
      <c r="D175" s="282" t="s">
        <v>330</v>
      </c>
      <c r="E175" s="282" t="s">
        <v>515</v>
      </c>
      <c r="F175" s="284">
        <v>530</v>
      </c>
      <c r="G175" s="285">
        <f>[1]Сводсоцпол!H17</f>
        <v>3667000</v>
      </c>
      <c r="H175" s="280">
        <f>SUM(H177:H180)</f>
        <v>4940558</v>
      </c>
      <c r="I175" s="280">
        <f>SUM(I177:I180)</f>
        <v>4940558</v>
      </c>
    </row>
    <row r="176" spans="1:11" x14ac:dyDescent="0.2">
      <c r="A176" s="288" t="s">
        <v>27</v>
      </c>
      <c r="B176" s="286"/>
      <c r="C176" s="283"/>
      <c r="D176" s="282"/>
      <c r="E176" s="282"/>
      <c r="F176" s="284"/>
      <c r="G176" s="285"/>
      <c r="H176" s="280"/>
      <c r="I176" s="280"/>
    </row>
    <row r="177" spans="1:13" x14ac:dyDescent="0.2">
      <c r="A177" s="288" t="s">
        <v>516</v>
      </c>
      <c r="B177" s="286" t="s">
        <v>472</v>
      </c>
      <c r="C177" s="283" t="s">
        <v>43</v>
      </c>
      <c r="D177" s="282" t="s">
        <v>330</v>
      </c>
      <c r="E177" s="282" t="s">
        <v>517</v>
      </c>
      <c r="F177" s="284">
        <v>313</v>
      </c>
      <c r="G177" s="285">
        <f>[1]Сводсоцпол!H14</f>
        <v>0</v>
      </c>
      <c r="H177" s="280">
        <v>73190</v>
      </c>
      <c r="I177" s="280">
        <v>73190</v>
      </c>
    </row>
    <row r="178" spans="1:13" x14ac:dyDescent="0.2">
      <c r="A178" s="288" t="s">
        <v>518</v>
      </c>
      <c r="B178" s="286" t="s">
        <v>397</v>
      </c>
      <c r="C178" s="283" t="s">
        <v>43</v>
      </c>
      <c r="D178" s="282" t="s">
        <v>330</v>
      </c>
      <c r="E178" s="282" t="s">
        <v>519</v>
      </c>
      <c r="F178" s="284">
        <v>412</v>
      </c>
      <c r="G178" s="285">
        <f>[1]Сводсоцпол!H12</f>
        <v>675000</v>
      </c>
      <c r="H178" s="290">
        <v>1179684</v>
      </c>
      <c r="I178" s="290">
        <v>1179684</v>
      </c>
    </row>
    <row r="179" spans="1:13" x14ac:dyDescent="0.2">
      <c r="A179" s="288" t="s">
        <v>518</v>
      </c>
      <c r="B179" s="286" t="s">
        <v>397</v>
      </c>
      <c r="C179" s="283" t="s">
        <v>43</v>
      </c>
      <c r="D179" s="282" t="s">
        <v>330</v>
      </c>
      <c r="E179" s="282" t="s">
        <v>520</v>
      </c>
      <c r="F179" s="284">
        <v>412</v>
      </c>
      <c r="G179" s="285">
        <f>[1]Сводсоцпол!H13</f>
        <v>675000</v>
      </c>
      <c r="H179" s="290">
        <v>1179684</v>
      </c>
      <c r="I179" s="290">
        <v>1179684</v>
      </c>
    </row>
    <row r="180" spans="1:13" x14ac:dyDescent="0.2">
      <c r="A180" s="288" t="s">
        <v>521</v>
      </c>
      <c r="B180" s="286" t="s">
        <v>472</v>
      </c>
      <c r="C180" s="283" t="s">
        <v>43</v>
      </c>
      <c r="D180" s="282" t="s">
        <v>330</v>
      </c>
      <c r="E180" s="282" t="s">
        <v>522</v>
      </c>
      <c r="F180" s="284">
        <v>313</v>
      </c>
      <c r="G180" s="285">
        <f>[1]Сводсоцпол!H16</f>
        <v>2317000</v>
      </c>
      <c r="H180" s="280">
        <v>2508000</v>
      </c>
      <c r="I180" s="280">
        <v>2508000</v>
      </c>
    </row>
    <row r="181" spans="1:13" ht="25.5" x14ac:dyDescent="0.2">
      <c r="A181" s="281" t="s">
        <v>523</v>
      </c>
      <c r="B181" s="286" t="s">
        <v>472</v>
      </c>
      <c r="C181" s="283" t="s">
        <v>43</v>
      </c>
      <c r="D181" s="282" t="s">
        <v>334</v>
      </c>
      <c r="E181" s="282" t="s">
        <v>524</v>
      </c>
      <c r="F181" s="283" t="s">
        <v>402</v>
      </c>
      <c r="G181" s="285">
        <f>SUM(G182:G183)</f>
        <v>746000</v>
      </c>
      <c r="H181" s="280">
        <f>G181</f>
        <v>746000</v>
      </c>
      <c r="I181" s="280">
        <f>G181</f>
        <v>746000</v>
      </c>
    </row>
    <row r="182" spans="1:13" ht="25.5" x14ac:dyDescent="0.2">
      <c r="A182" s="288" t="s">
        <v>403</v>
      </c>
      <c r="B182" s="286"/>
      <c r="C182" s="289" t="s">
        <v>43</v>
      </c>
      <c r="D182" s="286" t="s">
        <v>334</v>
      </c>
      <c r="E182" s="286" t="s">
        <v>524</v>
      </c>
      <c r="F182" s="287">
        <v>120</v>
      </c>
      <c r="G182" s="290">
        <f>'[1]Свод образ'!AH37</f>
        <v>709362</v>
      </c>
      <c r="H182" s="280">
        <f>G182</f>
        <v>709362</v>
      </c>
      <c r="I182" s="280">
        <f>H182</f>
        <v>709362</v>
      </c>
    </row>
    <row r="183" spans="1:13" ht="25.5" x14ac:dyDescent="0.2">
      <c r="A183" s="288" t="s">
        <v>404</v>
      </c>
      <c r="B183" s="286"/>
      <c r="C183" s="289" t="s">
        <v>43</v>
      </c>
      <c r="D183" s="286" t="s">
        <v>334</v>
      </c>
      <c r="E183" s="286" t="s">
        <v>524</v>
      </c>
      <c r="F183" s="287">
        <v>240</v>
      </c>
      <c r="G183" s="290">
        <f>'[1]Свод образ'!AI37</f>
        <v>36638</v>
      </c>
      <c r="H183" s="280">
        <f>G183</f>
        <v>36638</v>
      </c>
      <c r="I183" s="280">
        <f>H183</f>
        <v>36638</v>
      </c>
    </row>
    <row r="184" spans="1:13" x14ac:dyDescent="0.2">
      <c r="A184" s="281" t="s">
        <v>525</v>
      </c>
      <c r="B184" s="282" t="s">
        <v>397</v>
      </c>
      <c r="C184" s="283" t="s">
        <v>38</v>
      </c>
      <c r="D184" s="282" t="s">
        <v>398</v>
      </c>
      <c r="E184" s="282" t="s">
        <v>510</v>
      </c>
      <c r="F184" s="283" t="s">
        <v>402</v>
      </c>
      <c r="G184" s="285">
        <f>SUM(G185,G188,G193)</f>
        <v>9077314.3130799998</v>
      </c>
      <c r="H184" s="285">
        <f>SUM(H185,H188,H193)</f>
        <v>8297314.3130800007</v>
      </c>
      <c r="I184" s="285">
        <f>SUM(I185,I188,I193)</f>
        <v>8297314.3130800007</v>
      </c>
    </row>
    <row r="185" spans="1:13" x14ac:dyDescent="0.2">
      <c r="A185" s="288" t="s">
        <v>45</v>
      </c>
      <c r="B185" s="286" t="s">
        <v>0</v>
      </c>
      <c r="C185" s="289" t="s">
        <v>38</v>
      </c>
      <c r="D185" s="286" t="s">
        <v>324</v>
      </c>
      <c r="E185" s="286" t="s">
        <v>526</v>
      </c>
      <c r="F185" s="287" t="s">
        <v>0</v>
      </c>
      <c r="G185" s="285">
        <f>G186</f>
        <v>750000</v>
      </c>
      <c r="H185" s="285">
        <f>H186</f>
        <v>750000</v>
      </c>
      <c r="I185" s="285">
        <f>I186</f>
        <v>750000</v>
      </c>
    </row>
    <row r="186" spans="1:13" x14ac:dyDescent="0.2">
      <c r="A186" s="288" t="s">
        <v>512</v>
      </c>
      <c r="B186" s="286" t="s">
        <v>0</v>
      </c>
      <c r="C186" s="289" t="s">
        <v>38</v>
      </c>
      <c r="D186" s="286" t="s">
        <v>324</v>
      </c>
      <c r="E186" s="286" t="s">
        <v>526</v>
      </c>
      <c r="F186" s="287">
        <v>240</v>
      </c>
      <c r="G186" s="290">
        <f>'[1]Аппарат свод'!AL39</f>
        <v>750000</v>
      </c>
      <c r="H186" s="280">
        <f>G186</f>
        <v>750000</v>
      </c>
      <c r="I186" s="280">
        <f>H186</f>
        <v>750000</v>
      </c>
      <c r="M186" s="161" t="s">
        <v>0</v>
      </c>
    </row>
    <row r="187" spans="1:13" x14ac:dyDescent="0.2">
      <c r="A187" s="278" t="s">
        <v>527</v>
      </c>
      <c r="B187" s="282" t="s">
        <v>528</v>
      </c>
      <c r="C187" s="289"/>
      <c r="D187" s="286"/>
      <c r="E187" s="286"/>
      <c r="F187" s="287"/>
      <c r="G187" s="290"/>
      <c r="H187" s="280"/>
      <c r="I187" s="280"/>
    </row>
    <row r="188" spans="1:13" x14ac:dyDescent="0.2">
      <c r="A188" s="288" t="s">
        <v>527</v>
      </c>
      <c r="B188" s="282" t="s">
        <v>528</v>
      </c>
      <c r="C188" s="283" t="s">
        <v>38</v>
      </c>
      <c r="D188" s="282" t="s">
        <v>324</v>
      </c>
      <c r="E188" s="282" t="s">
        <v>529</v>
      </c>
      <c r="F188" s="283" t="s">
        <v>402</v>
      </c>
      <c r="G188" s="285">
        <f>SUM(G189:G192)</f>
        <v>6258080.0030000005</v>
      </c>
      <c r="H188" s="285">
        <f>SUM(H189:H192)</f>
        <v>6228080.0030000005</v>
      </c>
      <c r="I188" s="285">
        <f>SUM(I189:I192)</f>
        <v>6228080.0030000005</v>
      </c>
    </row>
    <row r="189" spans="1:13" ht="25.5" x14ac:dyDescent="0.2">
      <c r="A189" s="288" t="s">
        <v>453</v>
      </c>
      <c r="B189" s="286"/>
      <c r="C189" s="289" t="s">
        <v>38</v>
      </c>
      <c r="D189" s="286" t="s">
        <v>324</v>
      </c>
      <c r="E189" s="286" t="s">
        <v>529</v>
      </c>
      <c r="F189" s="287">
        <v>110</v>
      </c>
      <c r="G189" s="290">
        <f>'[1]МКУ ФОК'!Z7</f>
        <v>4484587.9680000003</v>
      </c>
      <c r="H189" s="280">
        <f>G189</f>
        <v>4484587.9680000003</v>
      </c>
      <c r="I189" s="280">
        <f>H189</f>
        <v>4484587.9680000003</v>
      </c>
    </row>
    <row r="190" spans="1:13" ht="25.5" x14ac:dyDescent="0.2">
      <c r="A190" s="288" t="s">
        <v>404</v>
      </c>
      <c r="B190" s="286"/>
      <c r="C190" s="289" t="s">
        <v>38</v>
      </c>
      <c r="D190" s="286" t="s">
        <v>324</v>
      </c>
      <c r="E190" s="286" t="s">
        <v>529</v>
      </c>
      <c r="F190" s="287">
        <v>240</v>
      </c>
      <c r="G190" s="290">
        <f>'[1]МКУ ФОК'!AA7</f>
        <v>447596.55499999993</v>
      </c>
      <c r="H190" s="280">
        <f>G190</f>
        <v>447596.55499999993</v>
      </c>
      <c r="I190" s="280">
        <f>G190</f>
        <v>447596.55499999993</v>
      </c>
    </row>
    <row r="191" spans="1:13" ht="25.5" x14ac:dyDescent="0.2">
      <c r="A191" s="288" t="s">
        <v>429</v>
      </c>
      <c r="B191" s="286"/>
      <c r="C191" s="289" t="s">
        <v>38</v>
      </c>
      <c r="D191" s="286" t="s">
        <v>324</v>
      </c>
      <c r="E191" s="286" t="s">
        <v>530</v>
      </c>
      <c r="F191" s="287">
        <v>400</v>
      </c>
      <c r="G191" s="290">
        <f>'[1]МКУ ФОК'!AC8</f>
        <v>30000</v>
      </c>
      <c r="H191" s="290">
        <f>'[1]МКУ ФОК'!AD8</f>
        <v>0</v>
      </c>
      <c r="I191" s="290">
        <f>'[1]МКУ ФОК'!AE8</f>
        <v>0</v>
      </c>
    </row>
    <row r="192" spans="1:13" x14ac:dyDescent="0.2">
      <c r="A192" s="288" t="s">
        <v>411</v>
      </c>
      <c r="B192" s="286"/>
      <c r="C192" s="289" t="s">
        <v>38</v>
      </c>
      <c r="D192" s="286" t="s">
        <v>324</v>
      </c>
      <c r="E192" s="286" t="s">
        <v>529</v>
      </c>
      <c r="F192" s="287">
        <v>850</v>
      </c>
      <c r="G192" s="290">
        <f>'[1]МКУ ФОК'!AB7</f>
        <v>1295895.4800000002</v>
      </c>
      <c r="H192" s="280">
        <f>G192</f>
        <v>1295895.4800000002</v>
      </c>
      <c r="I192" s="280">
        <f>G192</f>
        <v>1295895.4800000002</v>
      </c>
      <c r="L192" s="161" t="s">
        <v>0</v>
      </c>
    </row>
    <row r="193" spans="1:13" x14ac:dyDescent="0.2">
      <c r="A193" s="281" t="s">
        <v>531</v>
      </c>
      <c r="B193" s="282" t="s">
        <v>397</v>
      </c>
      <c r="C193" s="283" t="s">
        <v>38</v>
      </c>
      <c r="D193" s="282" t="s">
        <v>332</v>
      </c>
      <c r="E193" s="282"/>
      <c r="F193" s="284"/>
      <c r="G193" s="285">
        <f>G194+G197</f>
        <v>2069234.31008</v>
      </c>
      <c r="H193" s="285">
        <f>H194</f>
        <v>1319234.31008</v>
      </c>
      <c r="I193" s="285">
        <f>I194</f>
        <v>1319234.31008</v>
      </c>
    </row>
    <row r="194" spans="1:13" x14ac:dyDescent="0.2">
      <c r="A194" s="281" t="s">
        <v>532</v>
      </c>
      <c r="B194" s="282" t="s">
        <v>397</v>
      </c>
      <c r="C194" s="283" t="s">
        <v>38</v>
      </c>
      <c r="D194" s="282" t="s">
        <v>332</v>
      </c>
      <c r="E194" s="282" t="s">
        <v>410</v>
      </c>
      <c r="F194" s="283" t="s">
        <v>402</v>
      </c>
      <c r="G194" s="285">
        <f>SUM(G195:G196)</f>
        <v>1319234.31008</v>
      </c>
      <c r="H194" s="285">
        <f>SUM(H195:H196)</f>
        <v>1319234.31008</v>
      </c>
      <c r="I194" s="285">
        <f>SUM(I195:I196)</f>
        <v>1319234.31008</v>
      </c>
    </row>
    <row r="195" spans="1:13" ht="25.5" x14ac:dyDescent="0.2">
      <c r="A195" s="288" t="s">
        <v>403</v>
      </c>
      <c r="B195" s="286" t="s">
        <v>0</v>
      </c>
      <c r="C195" s="289" t="s">
        <v>38</v>
      </c>
      <c r="D195" s="286" t="s">
        <v>332</v>
      </c>
      <c r="E195" s="286" t="s">
        <v>410</v>
      </c>
      <c r="F195" s="287">
        <v>120</v>
      </c>
      <c r="G195" s="290">
        <f>'[1]Аппарат свод'!AK38</f>
        <v>1254770.0241799999</v>
      </c>
      <c r="H195" s="280">
        <f>G195</f>
        <v>1254770.0241799999</v>
      </c>
      <c r="I195" s="280">
        <f>H195</f>
        <v>1254770.0241799999</v>
      </c>
    </row>
    <row r="196" spans="1:13" ht="25.5" x14ac:dyDescent="0.2">
      <c r="A196" s="288" t="s">
        <v>404</v>
      </c>
      <c r="B196" s="286" t="s">
        <v>0</v>
      </c>
      <c r="C196" s="289" t="s">
        <v>38</v>
      </c>
      <c r="D196" s="286" t="s">
        <v>332</v>
      </c>
      <c r="E196" s="286" t="s">
        <v>410</v>
      </c>
      <c r="F196" s="287">
        <v>240</v>
      </c>
      <c r="G196" s="290">
        <f>'[1]Аппарат свод'!AL38</f>
        <v>64464.285900000017</v>
      </c>
      <c r="H196" s="280">
        <f>G196</f>
        <v>64464.285900000017</v>
      </c>
      <c r="I196" s="280">
        <f>H196</f>
        <v>64464.285900000017</v>
      </c>
      <c r="K196" s="161" t="s">
        <v>0</v>
      </c>
    </row>
    <row r="197" spans="1:13" ht="25.5" x14ac:dyDescent="0.2">
      <c r="A197" s="288" t="s">
        <v>404</v>
      </c>
      <c r="B197" s="286"/>
      <c r="C197" s="289" t="s">
        <v>38</v>
      </c>
      <c r="D197" s="286" t="s">
        <v>332</v>
      </c>
      <c r="E197" s="286" t="s">
        <v>526</v>
      </c>
      <c r="F197" s="287">
        <v>240</v>
      </c>
      <c r="G197" s="290">
        <f>'[1]Аппарат свод'!AL39</f>
        <v>750000</v>
      </c>
      <c r="H197" s="280"/>
      <c r="I197" s="280"/>
    </row>
    <row r="198" spans="1:13" x14ac:dyDescent="0.2">
      <c r="A198" s="281" t="s">
        <v>46</v>
      </c>
      <c r="B198" s="282"/>
      <c r="C198" s="283" t="s">
        <v>356</v>
      </c>
      <c r="D198" s="282" t="s">
        <v>398</v>
      </c>
      <c r="E198" s="282"/>
      <c r="F198" s="284"/>
      <c r="G198" s="285">
        <f>SUM(G200,G205)</f>
        <v>6733201.5577999987</v>
      </c>
      <c r="H198" s="285">
        <f>SUM(H200,H205)</f>
        <v>6733201.5577999987</v>
      </c>
      <c r="I198" s="285">
        <f>SUM(I200,I205)</f>
        <v>6629803.3927999996</v>
      </c>
    </row>
    <row r="199" spans="1:13" x14ac:dyDescent="0.2">
      <c r="A199" s="278" t="s">
        <v>533</v>
      </c>
      <c r="B199" s="282" t="s">
        <v>534</v>
      </c>
      <c r="C199" s="283"/>
      <c r="D199" s="282"/>
      <c r="E199" s="282"/>
      <c r="F199" s="284"/>
      <c r="G199" s="285"/>
      <c r="H199" s="280"/>
      <c r="I199" s="280"/>
    </row>
    <row r="200" spans="1:13" x14ac:dyDescent="0.2">
      <c r="A200" s="281" t="s">
        <v>0</v>
      </c>
      <c r="B200" s="282" t="s">
        <v>534</v>
      </c>
      <c r="C200" s="283" t="s">
        <v>356</v>
      </c>
      <c r="D200" s="282" t="s">
        <v>324</v>
      </c>
      <c r="E200" s="282" t="s">
        <v>535</v>
      </c>
      <c r="F200" s="283" t="s">
        <v>402</v>
      </c>
      <c r="G200" s="285">
        <f>SUM(G201:G203)</f>
        <v>2327895.0288</v>
      </c>
      <c r="H200" s="285">
        <f>SUM(H201:H203)</f>
        <v>2327895.0288</v>
      </c>
      <c r="I200" s="285">
        <f>SUM(I201:I203)</f>
        <v>2327895.0288</v>
      </c>
    </row>
    <row r="201" spans="1:13" ht="25.5" x14ac:dyDescent="0.2">
      <c r="A201" s="288" t="s">
        <v>453</v>
      </c>
      <c r="B201" s="286" t="s">
        <v>0</v>
      </c>
      <c r="C201" s="289" t="s">
        <v>356</v>
      </c>
      <c r="D201" s="286" t="s">
        <v>324</v>
      </c>
      <c r="E201" s="286" t="s">
        <v>535</v>
      </c>
      <c r="F201" s="287">
        <v>110</v>
      </c>
      <c r="G201" s="290">
        <f>'[1]МКУ РВК'!AC7</f>
        <v>1668864.5867999999</v>
      </c>
      <c r="H201" s="280">
        <f>G201</f>
        <v>1668864.5867999999</v>
      </c>
      <c r="I201" s="280">
        <f>G201</f>
        <v>1668864.5867999999</v>
      </c>
    </row>
    <row r="202" spans="1:13" ht="25.5" x14ac:dyDescent="0.2">
      <c r="A202" s="288" t="s">
        <v>404</v>
      </c>
      <c r="B202" s="286"/>
      <c r="C202" s="289" t="s">
        <v>356</v>
      </c>
      <c r="D202" s="286" t="s">
        <v>324</v>
      </c>
      <c r="E202" s="286" t="s">
        <v>535</v>
      </c>
      <c r="F202" s="287">
        <v>240</v>
      </c>
      <c r="G202" s="290">
        <f>'[1]МКУ РВК'!AD7</f>
        <v>656030.44200000004</v>
      </c>
      <c r="H202" s="280">
        <f>G202</f>
        <v>656030.44200000004</v>
      </c>
      <c r="I202" s="280">
        <f>G202</f>
        <v>656030.44200000004</v>
      </c>
    </row>
    <row r="203" spans="1:13" x14ac:dyDescent="0.2">
      <c r="A203" s="288" t="s">
        <v>411</v>
      </c>
      <c r="B203" s="286"/>
      <c r="C203" s="289" t="s">
        <v>356</v>
      </c>
      <c r="D203" s="286" t="s">
        <v>324</v>
      </c>
      <c r="E203" s="286" t="s">
        <v>535</v>
      </c>
      <c r="F203" s="287">
        <v>850</v>
      </c>
      <c r="G203" s="290">
        <f>'[1]МКУ РВК'!AE7</f>
        <v>3000</v>
      </c>
      <c r="H203" s="280">
        <f>G203</f>
        <v>3000</v>
      </c>
      <c r="I203" s="280">
        <f>G203</f>
        <v>3000</v>
      </c>
      <c r="M203" s="161" t="s">
        <v>0</v>
      </c>
    </row>
    <row r="204" spans="1:13" ht="25.5" x14ac:dyDescent="0.2">
      <c r="A204" s="278" t="s">
        <v>536</v>
      </c>
      <c r="B204" s="282" t="s">
        <v>537</v>
      </c>
      <c r="C204" s="289"/>
      <c r="D204" s="286"/>
      <c r="E204" s="286"/>
      <c r="F204" s="287"/>
      <c r="G204" s="290"/>
      <c r="H204" s="280"/>
      <c r="I204" s="280"/>
    </row>
    <row r="205" spans="1:13" x14ac:dyDescent="0.2">
      <c r="A205" s="281" t="s">
        <v>0</v>
      </c>
      <c r="B205" s="282" t="s">
        <v>537</v>
      </c>
      <c r="C205" s="283" t="s">
        <v>356</v>
      </c>
      <c r="D205" s="282" t="s">
        <v>326</v>
      </c>
      <c r="E205" s="282" t="s">
        <v>538</v>
      </c>
      <c r="F205" s="283" t="s">
        <v>402</v>
      </c>
      <c r="G205" s="285">
        <f>SUM(G206:G208)</f>
        <v>4405306.5289999992</v>
      </c>
      <c r="H205" s="285">
        <f>SUM(H206:H208)</f>
        <v>4405306.5289999992</v>
      </c>
      <c r="I205" s="285">
        <f>SUM(I206:I208)</f>
        <v>4301908.3640000001</v>
      </c>
    </row>
    <row r="206" spans="1:13" ht="25.5" x14ac:dyDescent="0.2">
      <c r="A206" s="288" t="s">
        <v>453</v>
      </c>
      <c r="B206" s="286" t="s">
        <v>0</v>
      </c>
      <c r="C206" s="289" t="s">
        <v>356</v>
      </c>
      <c r="D206" s="286" t="s">
        <v>326</v>
      </c>
      <c r="E206" s="286" t="s">
        <v>538</v>
      </c>
      <c r="F206" s="287">
        <v>110</v>
      </c>
      <c r="G206" s="290">
        <f>'[1]редакция МКУ '!AC7</f>
        <v>3819974.3640000001</v>
      </c>
      <c r="H206" s="280">
        <f>G206</f>
        <v>3819974.3640000001</v>
      </c>
      <c r="I206" s="280">
        <f>G206</f>
        <v>3819974.3640000001</v>
      </c>
    </row>
    <row r="207" spans="1:13" ht="25.5" x14ac:dyDescent="0.2">
      <c r="A207" s="288" t="s">
        <v>404</v>
      </c>
      <c r="B207" s="286"/>
      <c r="C207" s="289" t="s">
        <v>356</v>
      </c>
      <c r="D207" s="286" t="s">
        <v>326</v>
      </c>
      <c r="E207" s="286" t="s">
        <v>538</v>
      </c>
      <c r="F207" s="287">
        <v>240</v>
      </c>
      <c r="G207" s="290">
        <f>'[1]редакция МКУ '!AD7</f>
        <v>585332.16499999911</v>
      </c>
      <c r="H207" s="280">
        <f>G207</f>
        <v>585332.16499999911</v>
      </c>
      <c r="I207" s="280">
        <v>481934</v>
      </c>
    </row>
    <row r="208" spans="1:13" x14ac:dyDescent="0.2">
      <c r="A208" s="288" t="s">
        <v>411</v>
      </c>
      <c r="B208" s="286" t="s">
        <v>0</v>
      </c>
      <c r="C208" s="289" t="s">
        <v>356</v>
      </c>
      <c r="D208" s="286" t="s">
        <v>326</v>
      </c>
      <c r="E208" s="286" t="s">
        <v>538</v>
      </c>
      <c r="F208" s="287">
        <v>850</v>
      </c>
      <c r="G208" s="290">
        <f>'[1]редакция МКУ '!AE7</f>
        <v>0</v>
      </c>
      <c r="H208" s="280">
        <f>G208</f>
        <v>0</v>
      </c>
      <c r="I208" s="280">
        <f>G208</f>
        <v>0</v>
      </c>
      <c r="L208" s="161" t="s">
        <v>0</v>
      </c>
    </row>
    <row r="209" spans="1:14" ht="25.5" x14ac:dyDescent="0.2">
      <c r="A209" s="281" t="s">
        <v>539</v>
      </c>
      <c r="B209" s="282" t="s">
        <v>397</v>
      </c>
      <c r="C209" s="283" t="s">
        <v>339</v>
      </c>
      <c r="D209" s="282" t="s">
        <v>324</v>
      </c>
      <c r="E209" s="282" t="s">
        <v>540</v>
      </c>
      <c r="F209" s="284">
        <v>730</v>
      </c>
      <c r="G209" s="285">
        <f>'[1]Аппарат свод'!BM46</f>
        <v>11500</v>
      </c>
      <c r="H209" s="285">
        <v>11500</v>
      </c>
      <c r="I209" s="285">
        <v>7700</v>
      </c>
    </row>
    <row r="210" spans="1:14" x14ac:dyDescent="0.2">
      <c r="A210" s="281" t="s">
        <v>541</v>
      </c>
      <c r="B210" s="282" t="s">
        <v>415</v>
      </c>
      <c r="C210" s="283" t="s">
        <v>347</v>
      </c>
      <c r="D210" s="282" t="s">
        <v>398</v>
      </c>
      <c r="E210" s="282" t="s">
        <v>474</v>
      </c>
      <c r="F210" s="284"/>
      <c r="G210" s="285">
        <f>SUM(G211:G212,G213,G214)</f>
        <v>122507999.52118102</v>
      </c>
      <c r="H210" s="285">
        <f>SUM(H211,H213,H214)</f>
        <v>88205999.521181002</v>
      </c>
      <c r="I210" s="285">
        <f>SUM(I211,I213,I214)</f>
        <v>82662999.521181002</v>
      </c>
    </row>
    <row r="211" spans="1:14" ht="25.5" x14ac:dyDescent="0.2">
      <c r="A211" s="281" t="s">
        <v>542</v>
      </c>
      <c r="B211" s="286" t="s">
        <v>0</v>
      </c>
      <c r="C211" s="283" t="s">
        <v>347</v>
      </c>
      <c r="D211" s="282" t="s">
        <v>324</v>
      </c>
      <c r="E211" s="282" t="s">
        <v>543</v>
      </c>
      <c r="F211" s="284">
        <v>511</v>
      </c>
      <c r="G211" s="285">
        <f>'[1]Дотация пос 8'!B30</f>
        <v>101126000.00000001</v>
      </c>
      <c r="H211" s="280">
        <v>65898000</v>
      </c>
      <c r="I211" s="280">
        <v>62603000</v>
      </c>
    </row>
    <row r="212" spans="1:14" ht="25.5" x14ac:dyDescent="0.2">
      <c r="A212" s="281" t="s">
        <v>544</v>
      </c>
      <c r="B212" s="286"/>
      <c r="C212" s="283" t="s">
        <v>347</v>
      </c>
      <c r="D212" s="282" t="s">
        <v>324</v>
      </c>
      <c r="E212" s="282" t="s">
        <v>543</v>
      </c>
      <c r="F212" s="284">
        <v>511</v>
      </c>
      <c r="G212" s="285">
        <f>'[1]Налоги посел 6'!AG34*1000</f>
        <v>0</v>
      </c>
      <c r="H212" s="280">
        <v>0</v>
      </c>
      <c r="I212" s="280">
        <v>0</v>
      </c>
    </row>
    <row r="213" spans="1:14" ht="25.5" x14ac:dyDescent="0.2">
      <c r="A213" s="281" t="s">
        <v>545</v>
      </c>
      <c r="B213" s="286"/>
      <c r="C213" s="283" t="s">
        <v>347</v>
      </c>
      <c r="D213" s="282" t="s">
        <v>326</v>
      </c>
      <c r="E213" s="282" t="s">
        <v>546</v>
      </c>
      <c r="F213" s="284">
        <v>512</v>
      </c>
      <c r="G213" s="285">
        <f>'[1]Дотация пос 8'!B33</f>
        <v>0</v>
      </c>
      <c r="H213" s="280"/>
      <c r="I213" s="280"/>
    </row>
    <row r="214" spans="1:14" x14ac:dyDescent="0.2">
      <c r="A214" s="281" t="s">
        <v>386</v>
      </c>
      <c r="B214" s="286"/>
      <c r="C214" s="283" t="s">
        <v>347</v>
      </c>
      <c r="D214" s="282" t="s">
        <v>328</v>
      </c>
      <c r="E214" s="282" t="s">
        <v>474</v>
      </c>
      <c r="F214" s="283" t="s">
        <v>402</v>
      </c>
      <c r="G214" s="285">
        <f>SUM(G215:G218)</f>
        <v>21381999.521181002</v>
      </c>
      <c r="H214" s="285">
        <f>SUM(H215:H218)</f>
        <v>22307999.521181002</v>
      </c>
      <c r="I214" s="285">
        <f>SUM(I215:I218)</f>
        <v>20059999.521181002</v>
      </c>
    </row>
    <row r="215" spans="1:14" x14ac:dyDescent="0.2">
      <c r="A215" s="281" t="s">
        <v>547</v>
      </c>
      <c r="B215" s="286"/>
      <c r="C215" s="289" t="s">
        <v>347</v>
      </c>
      <c r="D215" s="286" t="s">
        <v>328</v>
      </c>
      <c r="E215" s="286" t="s">
        <v>443</v>
      </c>
      <c r="F215" s="287">
        <v>530</v>
      </c>
      <c r="G215" s="290">
        <f>'[1]Субс посел на город среду 11'!C25*1000</f>
        <v>0</v>
      </c>
      <c r="H215" s="280"/>
      <c r="I215" s="280"/>
    </row>
    <row r="216" spans="1:14" x14ac:dyDescent="0.2">
      <c r="A216" s="281" t="s">
        <v>548</v>
      </c>
      <c r="B216" s="286"/>
      <c r="C216" s="289" t="s">
        <v>347</v>
      </c>
      <c r="D216" s="286" t="s">
        <v>328</v>
      </c>
      <c r="E216" s="286" t="s">
        <v>549</v>
      </c>
      <c r="F216" s="287">
        <v>530</v>
      </c>
      <c r="G216" s="290">
        <f>'[1]ВУС 12'!B32</f>
        <v>3109000</v>
      </c>
      <c r="H216" s="280">
        <v>3035000</v>
      </c>
      <c r="I216" s="280">
        <v>3152000</v>
      </c>
    </row>
    <row r="217" spans="1:14" ht="25.5" x14ac:dyDescent="0.2">
      <c r="A217" s="281" t="s">
        <v>550</v>
      </c>
      <c r="B217" s="286"/>
      <c r="C217" s="289" t="s">
        <v>347</v>
      </c>
      <c r="D217" s="286" t="s">
        <v>328</v>
      </c>
      <c r="E217" s="286" t="s">
        <v>551</v>
      </c>
      <c r="F217" s="287">
        <v>540</v>
      </c>
      <c r="G217" s="290">
        <f>'[1]Свод бюджета района'!G106</f>
        <v>8999999.5211810004</v>
      </c>
      <c r="H217" s="280">
        <f>G217</f>
        <v>8999999.5211810004</v>
      </c>
      <c r="I217" s="280">
        <f>H217</f>
        <v>8999999.5211810004</v>
      </c>
    </row>
    <row r="218" spans="1:14" x14ac:dyDescent="0.2">
      <c r="A218" s="281" t="s">
        <v>552</v>
      </c>
      <c r="B218" s="286"/>
      <c r="C218" s="289" t="s">
        <v>347</v>
      </c>
      <c r="D218" s="286" t="s">
        <v>328</v>
      </c>
      <c r="E218" s="286"/>
      <c r="F218" s="287"/>
      <c r="G218" s="290">
        <f>'[1]Свод бюджета района'!G102</f>
        <v>9273000</v>
      </c>
      <c r="H218" s="290">
        <v>10273000</v>
      </c>
      <c r="I218" s="290">
        <v>7908000</v>
      </c>
    </row>
    <row r="219" spans="1:14" x14ac:dyDescent="0.2">
      <c r="A219" s="281" t="s">
        <v>235</v>
      </c>
      <c r="B219" s="286"/>
      <c r="C219" s="289"/>
      <c r="D219" s="286"/>
      <c r="E219" s="286"/>
      <c r="F219" s="287"/>
      <c r="G219" s="290">
        <f>'[1]Субсид посел №10'!B35</f>
        <v>1000000</v>
      </c>
      <c r="H219" s="290">
        <f t="shared" ref="H219:I220" si="11">G219</f>
        <v>1000000</v>
      </c>
      <c r="I219" s="290">
        <f t="shared" si="11"/>
        <v>1000000</v>
      </c>
    </row>
    <row r="220" spans="1:14" ht="25.5" x14ac:dyDescent="0.2">
      <c r="A220" s="281" t="s">
        <v>553</v>
      </c>
      <c r="B220" s="286"/>
      <c r="C220" s="289"/>
      <c r="D220" s="286"/>
      <c r="E220" s="286"/>
      <c r="F220" s="287"/>
      <c r="G220" s="290">
        <f>'[1]Субсид посел №10'!B36</f>
        <v>500000</v>
      </c>
      <c r="H220" s="290">
        <f t="shared" si="11"/>
        <v>500000</v>
      </c>
      <c r="I220" s="290">
        <f t="shared" si="11"/>
        <v>500000</v>
      </c>
    </row>
    <row r="221" spans="1:14" x14ac:dyDescent="0.2">
      <c r="A221" s="281" t="s">
        <v>47</v>
      </c>
      <c r="B221" s="286"/>
      <c r="C221" s="289"/>
      <c r="D221" s="286"/>
      <c r="E221" s="286"/>
      <c r="F221" s="287"/>
      <c r="G221" s="285">
        <f>SUM(G13,G69,G83,G97,G106,G153,G167,G184,G198,G209,G210)</f>
        <v>1185874106.0457861</v>
      </c>
      <c r="H221" s="285">
        <f>SUM(H13,H69,H83,H97,H106,H153,H167,H184,H198,H209,H210)</f>
        <v>1111519856.1239061</v>
      </c>
      <c r="I221" s="285">
        <f>SUM(I13,I69,I83,I97,I106,I153,I167,I184,I198,I209,I210)</f>
        <v>1114523766.1629062</v>
      </c>
      <c r="J221" s="161" t="s">
        <v>0</v>
      </c>
    </row>
    <row r="222" spans="1:14" x14ac:dyDescent="0.2">
      <c r="A222" s="306" t="s">
        <v>554</v>
      </c>
      <c r="G222" s="307">
        <f>'[1]Доходы №1'!E59*1000-3830600</f>
        <v>1185874106</v>
      </c>
      <c r="H222" s="307">
        <f>'[1]Доходы №1'!F59*1000-3830600</f>
        <v>1111519856</v>
      </c>
      <c r="I222" s="307">
        <f>'[1]Доходы №1'!G59*1000-3830500</f>
        <v>1114523866.0000002</v>
      </c>
    </row>
    <row r="223" spans="1:14" x14ac:dyDescent="0.2">
      <c r="A223" s="161" t="s">
        <v>555</v>
      </c>
      <c r="G223" s="308"/>
      <c r="H223" s="308"/>
      <c r="I223" s="308"/>
    </row>
    <row r="224" spans="1:14" x14ac:dyDescent="0.2">
      <c r="A224" s="274" t="s">
        <v>556</v>
      </c>
      <c r="N224" s="161" t="s">
        <v>0</v>
      </c>
    </row>
    <row r="225" spans="1:9" x14ac:dyDescent="0.2">
      <c r="A225" s="161" t="s">
        <v>0</v>
      </c>
    </row>
    <row r="226" spans="1:9" x14ac:dyDescent="0.2">
      <c r="A226" s="163"/>
      <c r="B226" s="163"/>
      <c r="C226" s="163"/>
      <c r="D226" s="163"/>
      <c r="E226" s="163"/>
      <c r="F226" s="163"/>
      <c r="G226" s="309">
        <f>'[1]Доходы №1'!E59*1000-3830600</f>
        <v>1185874106</v>
      </c>
      <c r="H226" s="309">
        <f>'[1]Доходы №1'!F59*1000-3830600</f>
        <v>1111519856</v>
      </c>
      <c r="I226" s="309">
        <f>'[1]Доходы №1'!G59*1000-3830600</f>
        <v>1114523766.0000002</v>
      </c>
    </row>
    <row r="227" spans="1:9" x14ac:dyDescent="0.2">
      <c r="A227" s="163"/>
      <c r="B227" s="163"/>
      <c r="C227" s="163"/>
      <c r="D227" s="163"/>
      <c r="E227" s="163"/>
      <c r="F227" s="163"/>
      <c r="G227" s="310">
        <f>G226-G221</f>
        <v>-4.5786142349243164E-2</v>
      </c>
      <c r="H227" s="310">
        <f>H226-H221</f>
        <v>-0.12390613555908203</v>
      </c>
      <c r="I227" s="310">
        <f>I226-I221</f>
        <v>-0.16290593147277832</v>
      </c>
    </row>
    <row r="228" spans="1:9" x14ac:dyDescent="0.2">
      <c r="G228" s="308"/>
    </row>
    <row r="229" spans="1:9" x14ac:dyDescent="0.2">
      <c r="A229" s="274" t="s">
        <v>557</v>
      </c>
      <c r="G229" s="308"/>
    </row>
    <row r="230" spans="1:9" x14ac:dyDescent="0.2">
      <c r="G230" s="308"/>
    </row>
    <row r="231" spans="1:9" x14ac:dyDescent="0.2">
      <c r="G231" s="308"/>
    </row>
    <row r="232" spans="1:9" x14ac:dyDescent="0.2">
      <c r="G232" s="308"/>
    </row>
    <row r="233" spans="1:9" x14ac:dyDescent="0.2">
      <c r="G233" s="308"/>
    </row>
    <row r="234" spans="1:9" x14ac:dyDescent="0.2">
      <c r="G234" s="308"/>
    </row>
    <row r="235" spans="1:9" x14ac:dyDescent="0.2">
      <c r="G235" s="308"/>
    </row>
    <row r="236" spans="1:9" x14ac:dyDescent="0.2">
      <c r="G236" s="308"/>
    </row>
    <row r="237" spans="1:9" x14ac:dyDescent="0.2">
      <c r="G237" s="308"/>
    </row>
    <row r="238" spans="1:9" x14ac:dyDescent="0.2">
      <c r="G238" s="308"/>
    </row>
    <row r="239" spans="1:9" x14ac:dyDescent="0.2">
      <c r="G239" s="308"/>
    </row>
    <row r="240" spans="1:9" x14ac:dyDescent="0.2">
      <c r="G240" s="308"/>
    </row>
    <row r="241" spans="7:7" x14ac:dyDescent="0.2">
      <c r="G241" s="308"/>
    </row>
    <row r="242" spans="7:7" x14ac:dyDescent="0.2">
      <c r="G242" s="308"/>
    </row>
    <row r="243" spans="7:7" x14ac:dyDescent="0.2">
      <c r="G243" s="308"/>
    </row>
    <row r="244" spans="7:7" x14ac:dyDescent="0.2">
      <c r="G244" s="308"/>
    </row>
    <row r="245" spans="7:7" x14ac:dyDescent="0.2">
      <c r="G245" s="308"/>
    </row>
    <row r="246" spans="7:7" x14ac:dyDescent="0.2">
      <c r="G246" s="308"/>
    </row>
    <row r="247" spans="7:7" x14ac:dyDescent="0.2">
      <c r="G247" s="308"/>
    </row>
    <row r="248" spans="7:7" x14ac:dyDescent="0.2">
      <c r="G248" s="308"/>
    </row>
    <row r="249" spans="7:7" x14ac:dyDescent="0.2">
      <c r="G249" s="308"/>
    </row>
    <row r="250" spans="7:7" x14ac:dyDescent="0.2">
      <c r="G250" s="308"/>
    </row>
    <row r="251" spans="7:7" x14ac:dyDescent="0.2">
      <c r="G251" s="308"/>
    </row>
    <row r="252" spans="7:7" x14ac:dyDescent="0.2">
      <c r="G252" s="308"/>
    </row>
    <row r="253" spans="7:7" x14ac:dyDescent="0.2">
      <c r="G253" s="308"/>
    </row>
    <row r="254" spans="7:7" x14ac:dyDescent="0.2">
      <c r="G254" s="308"/>
    </row>
    <row r="255" spans="7:7" x14ac:dyDescent="0.2">
      <c r="G255" s="308"/>
    </row>
    <row r="256" spans="7:7" x14ac:dyDescent="0.2">
      <c r="G256" s="308"/>
    </row>
    <row r="257" spans="7:7" x14ac:dyDescent="0.2">
      <c r="G257" s="308"/>
    </row>
    <row r="258" spans="7:7" x14ac:dyDescent="0.2">
      <c r="G258" s="308"/>
    </row>
    <row r="259" spans="7:7" x14ac:dyDescent="0.2">
      <c r="G259" s="308"/>
    </row>
    <row r="260" spans="7:7" x14ac:dyDescent="0.2">
      <c r="G260" s="308"/>
    </row>
    <row r="261" spans="7:7" x14ac:dyDescent="0.2">
      <c r="G261" s="308"/>
    </row>
    <row r="262" spans="7:7" x14ac:dyDescent="0.2">
      <c r="G262" s="308"/>
    </row>
    <row r="263" spans="7:7" x14ac:dyDescent="0.2">
      <c r="G263" s="308"/>
    </row>
    <row r="264" spans="7:7" x14ac:dyDescent="0.2">
      <c r="G264" s="308"/>
    </row>
    <row r="265" spans="7:7" x14ac:dyDescent="0.2">
      <c r="G265" s="308"/>
    </row>
    <row r="266" spans="7:7" x14ac:dyDescent="0.2">
      <c r="G266" s="308"/>
    </row>
    <row r="267" spans="7:7" x14ac:dyDescent="0.2">
      <c r="G267" s="308"/>
    </row>
    <row r="268" spans="7:7" x14ac:dyDescent="0.2">
      <c r="G268" s="308"/>
    </row>
    <row r="269" spans="7:7" x14ac:dyDescent="0.2">
      <c r="G269" s="308"/>
    </row>
    <row r="270" spans="7:7" x14ac:dyDescent="0.2">
      <c r="G270" s="308"/>
    </row>
    <row r="271" spans="7:7" x14ac:dyDescent="0.2">
      <c r="G271" s="308"/>
    </row>
    <row r="272" spans="7:7" x14ac:dyDescent="0.2">
      <c r="G272" s="308"/>
    </row>
    <row r="273" spans="7:7" x14ac:dyDescent="0.2">
      <c r="G273" s="308"/>
    </row>
    <row r="274" spans="7:7" x14ac:dyDescent="0.2">
      <c r="G274" s="308"/>
    </row>
    <row r="275" spans="7:7" x14ac:dyDescent="0.2">
      <c r="G275" s="308"/>
    </row>
    <row r="276" spans="7:7" x14ac:dyDescent="0.2">
      <c r="G276" s="308"/>
    </row>
    <row r="277" spans="7:7" x14ac:dyDescent="0.2">
      <c r="G277" s="308"/>
    </row>
    <row r="278" spans="7:7" x14ac:dyDescent="0.2">
      <c r="G278" s="308"/>
    </row>
    <row r="279" spans="7:7" x14ac:dyDescent="0.2">
      <c r="G279" s="308"/>
    </row>
    <row r="280" spans="7:7" x14ac:dyDescent="0.2">
      <c r="G280" s="308"/>
    </row>
    <row r="281" spans="7:7" x14ac:dyDescent="0.2">
      <c r="G281" s="308"/>
    </row>
    <row r="282" spans="7:7" x14ac:dyDescent="0.2">
      <c r="G282" s="308"/>
    </row>
    <row r="283" spans="7:7" x14ac:dyDescent="0.2">
      <c r="G283" s="308"/>
    </row>
    <row r="284" spans="7:7" x14ac:dyDescent="0.2">
      <c r="G284" s="308"/>
    </row>
    <row r="285" spans="7:7" x14ac:dyDescent="0.2">
      <c r="G285" s="308"/>
    </row>
    <row r="286" spans="7:7" x14ac:dyDescent="0.2">
      <c r="G286" s="308"/>
    </row>
    <row r="287" spans="7:7" x14ac:dyDescent="0.2">
      <c r="G287" s="308"/>
    </row>
    <row r="288" spans="7:7" x14ac:dyDescent="0.2">
      <c r="G288" s="308"/>
    </row>
    <row r="289" spans="7:7" x14ac:dyDescent="0.2">
      <c r="G289" s="308"/>
    </row>
    <row r="290" spans="7:7" x14ac:dyDescent="0.2">
      <c r="G290" s="308"/>
    </row>
    <row r="291" spans="7:7" x14ac:dyDescent="0.2">
      <c r="G291" s="308"/>
    </row>
    <row r="292" spans="7:7" x14ac:dyDescent="0.2">
      <c r="G292" s="308"/>
    </row>
    <row r="293" spans="7:7" x14ac:dyDescent="0.2">
      <c r="G293" s="308"/>
    </row>
    <row r="294" spans="7:7" x14ac:dyDescent="0.2">
      <c r="G294" s="308"/>
    </row>
    <row r="295" spans="7:7" x14ac:dyDescent="0.2">
      <c r="G295" s="308"/>
    </row>
    <row r="296" spans="7:7" x14ac:dyDescent="0.2">
      <c r="G296" s="308"/>
    </row>
    <row r="297" spans="7:7" x14ac:dyDescent="0.2">
      <c r="G297" s="308"/>
    </row>
    <row r="298" spans="7:7" x14ac:dyDescent="0.2">
      <c r="G298" s="308"/>
    </row>
    <row r="299" spans="7:7" x14ac:dyDescent="0.2">
      <c r="G299" s="308"/>
    </row>
    <row r="300" spans="7:7" x14ac:dyDescent="0.2">
      <c r="G300" s="308"/>
    </row>
    <row r="301" spans="7:7" x14ac:dyDescent="0.2">
      <c r="G301" s="308"/>
    </row>
    <row r="302" spans="7:7" x14ac:dyDescent="0.2">
      <c r="G302" s="308"/>
    </row>
    <row r="303" spans="7:7" x14ac:dyDescent="0.2">
      <c r="G303" s="308"/>
    </row>
    <row r="304" spans="7:7" x14ac:dyDescent="0.2">
      <c r="G304" s="308"/>
    </row>
    <row r="305" spans="7:7" x14ac:dyDescent="0.2">
      <c r="G305" s="308"/>
    </row>
    <row r="306" spans="7:7" x14ac:dyDescent="0.2">
      <c r="G306" s="308"/>
    </row>
    <row r="307" spans="7:7" x14ac:dyDescent="0.2">
      <c r="G307" s="308"/>
    </row>
    <row r="308" spans="7:7" x14ac:dyDescent="0.2">
      <c r="G308" s="308"/>
    </row>
    <row r="309" spans="7:7" x14ac:dyDescent="0.2">
      <c r="G309" s="308"/>
    </row>
    <row r="310" spans="7:7" x14ac:dyDescent="0.2">
      <c r="G310" s="308"/>
    </row>
    <row r="311" spans="7:7" x14ac:dyDescent="0.2">
      <c r="G311" s="308"/>
    </row>
    <row r="312" spans="7:7" x14ac:dyDescent="0.2">
      <c r="G312" s="308"/>
    </row>
    <row r="313" spans="7:7" x14ac:dyDescent="0.2">
      <c r="G313" s="308"/>
    </row>
    <row r="314" spans="7:7" x14ac:dyDescent="0.2">
      <c r="G314" s="308"/>
    </row>
    <row r="315" spans="7:7" x14ac:dyDescent="0.2">
      <c r="G315" s="308"/>
    </row>
    <row r="316" spans="7:7" x14ac:dyDescent="0.2">
      <c r="G316" s="308"/>
    </row>
    <row r="317" spans="7:7" x14ac:dyDescent="0.2">
      <c r="G317" s="308"/>
    </row>
    <row r="318" spans="7:7" x14ac:dyDescent="0.2">
      <c r="G318" s="308"/>
    </row>
    <row r="319" spans="7:7" x14ac:dyDescent="0.2">
      <c r="G319" s="308"/>
    </row>
    <row r="320" spans="7:7" x14ac:dyDescent="0.2">
      <c r="G320" s="308"/>
    </row>
    <row r="321" spans="7:7" x14ac:dyDescent="0.2">
      <c r="G321" s="308"/>
    </row>
  </sheetData>
  <mergeCells count="6">
    <mergeCell ref="A6:I6"/>
    <mergeCell ref="A7:I7"/>
    <mergeCell ref="A8:I8"/>
    <mergeCell ref="G2:I2"/>
    <mergeCell ref="G3:I3"/>
    <mergeCell ref="G4:I4"/>
  </mergeCells>
  <pageMargins left="0.70866141732283472" right="0.70866141732283472" top="0.74803149606299213" bottom="0.74803149606299213" header="0.31496062992125984" footer="0.31496062992125984"/>
  <pageSetup paperSize="9" scale="73" fitToHeight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48"/>
  <sheetViews>
    <sheetView topLeftCell="F1" zoomScaleNormal="100" workbookViewId="0">
      <selection activeCell="P4" sqref="P4:S4"/>
    </sheetView>
  </sheetViews>
  <sheetFormatPr defaultRowHeight="15" x14ac:dyDescent="0.25"/>
  <cols>
    <col min="1" max="1" width="17.85546875" customWidth="1"/>
    <col min="2" max="4" width="10.85546875" customWidth="1"/>
    <col min="5" max="7" width="9.5703125" customWidth="1"/>
    <col min="8" max="10" width="10" customWidth="1"/>
    <col min="11" max="13" width="8.5703125" customWidth="1"/>
    <col min="14" max="16" width="8.42578125" customWidth="1"/>
    <col min="17" max="19" width="11" customWidth="1"/>
    <col min="20" max="20" width="10.42578125" customWidth="1"/>
    <col min="21" max="21" width="10.140625" customWidth="1"/>
    <col min="22" max="22" width="10" customWidth="1"/>
    <col min="25" max="25" width="10.85546875" customWidth="1"/>
    <col min="26" max="26" width="11.140625" customWidth="1"/>
    <col min="27" max="30" width="10.5703125" customWidth="1"/>
  </cols>
  <sheetData>
    <row r="1" spans="1:226" s="166" customFormat="1" x14ac:dyDescent="0.25"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</row>
    <row r="2" spans="1:226" s="161" customFormat="1" ht="15" customHeight="1" x14ac:dyDescent="0.25">
      <c r="B2" s="348"/>
      <c r="C2" s="348"/>
      <c r="D2" s="348"/>
      <c r="E2" s="348"/>
      <c r="F2" s="348"/>
      <c r="G2" s="512"/>
      <c r="H2" s="512"/>
      <c r="I2" s="512"/>
      <c r="P2" s="512" t="s">
        <v>595</v>
      </c>
      <c r="Q2" s="512"/>
      <c r="R2" s="512"/>
      <c r="S2" s="512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</row>
    <row r="3" spans="1:226" s="161" customFormat="1" ht="15.75" x14ac:dyDescent="0.25">
      <c r="B3" s="348"/>
      <c r="C3" s="348"/>
      <c r="D3" s="348"/>
      <c r="E3" s="348"/>
      <c r="F3" s="348"/>
      <c r="G3" s="512"/>
      <c r="H3" s="512"/>
      <c r="I3" s="512"/>
      <c r="P3" s="512" t="s">
        <v>571</v>
      </c>
      <c r="Q3" s="512"/>
      <c r="R3" s="512"/>
      <c r="S3" s="512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</row>
    <row r="4" spans="1:226" s="161" customFormat="1" ht="15.75" x14ac:dyDescent="0.25">
      <c r="B4" s="348"/>
      <c r="C4" s="348"/>
      <c r="D4" s="348"/>
      <c r="E4" s="348"/>
      <c r="F4" s="348"/>
      <c r="G4" s="512"/>
      <c r="H4" s="512"/>
      <c r="I4" s="512"/>
      <c r="J4" s="162"/>
      <c r="K4" s="162"/>
      <c r="L4" s="162"/>
      <c r="M4" s="162"/>
      <c r="N4" s="162"/>
      <c r="O4" s="162"/>
      <c r="P4" s="527" t="s">
        <v>624</v>
      </c>
      <c r="Q4" s="527"/>
      <c r="R4" s="527"/>
      <c r="S4" s="527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</row>
    <row r="5" spans="1:226" ht="12.75" customHeight="1" x14ac:dyDescent="0.25">
      <c r="K5" s="516"/>
      <c r="L5" s="516"/>
      <c r="M5" s="516"/>
      <c r="N5" s="516"/>
      <c r="O5" s="516"/>
      <c r="P5" s="516"/>
      <c r="Q5" s="516"/>
      <c r="R5" s="516"/>
      <c r="S5" s="516"/>
      <c r="T5" s="405" t="s">
        <v>267</v>
      </c>
      <c r="U5" s="405"/>
      <c r="V5" s="405"/>
      <c r="W5" s="405"/>
      <c r="X5" s="406"/>
      <c r="Y5" s="407"/>
      <c r="Z5" s="402"/>
      <c r="AA5" s="402"/>
      <c r="AB5" s="402"/>
      <c r="AC5" s="402"/>
      <c r="AD5" s="402"/>
      <c r="AE5" s="402"/>
    </row>
    <row r="6" spans="1:226" ht="31.7" customHeight="1" x14ac:dyDescent="0.25">
      <c r="A6" s="517" t="s">
        <v>268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5" t="s">
        <v>269</v>
      </c>
      <c r="U6" s="515" t="s">
        <v>270</v>
      </c>
      <c r="V6" s="515" t="s">
        <v>271</v>
      </c>
      <c r="W6" s="515" t="s">
        <v>272</v>
      </c>
      <c r="X6" s="515" t="s">
        <v>18</v>
      </c>
      <c r="Y6" s="515" t="s">
        <v>71</v>
      </c>
      <c r="Z6" s="402"/>
      <c r="AA6" s="402"/>
      <c r="AB6" s="402"/>
      <c r="AC6" s="402"/>
      <c r="AD6" s="402"/>
      <c r="AE6" s="402"/>
    </row>
    <row r="7" spans="1:226" ht="12" customHeight="1" thickBot="1" x14ac:dyDescent="0.3">
      <c r="E7" s="38"/>
      <c r="F7" s="38"/>
      <c r="G7" s="38"/>
      <c r="H7" s="39"/>
      <c r="I7" s="39"/>
      <c r="J7" s="39"/>
      <c r="K7" s="40"/>
      <c r="L7" s="40"/>
      <c r="M7" s="40"/>
      <c r="N7" s="40"/>
      <c r="O7" s="40"/>
      <c r="P7" s="40"/>
      <c r="Q7" s="41" t="s">
        <v>0</v>
      </c>
      <c r="R7" s="41"/>
      <c r="S7" s="41"/>
      <c r="T7" s="515"/>
      <c r="U7" s="515"/>
      <c r="V7" s="515"/>
      <c r="W7" s="515"/>
      <c r="X7" s="515"/>
      <c r="Y7" s="515"/>
      <c r="Z7" s="402"/>
      <c r="AA7" s="402"/>
      <c r="AB7" s="402"/>
      <c r="AC7" s="402"/>
      <c r="AD7" s="402"/>
      <c r="AE7" s="402"/>
    </row>
    <row r="8" spans="1:226" ht="25.5" customHeight="1" x14ac:dyDescent="0.25">
      <c r="A8" s="518" t="s">
        <v>72</v>
      </c>
      <c r="B8" s="521" t="s">
        <v>73</v>
      </c>
      <c r="C8" s="522"/>
      <c r="D8" s="523"/>
      <c r="E8" s="521" t="s">
        <v>74</v>
      </c>
      <c r="F8" s="522"/>
      <c r="G8" s="523"/>
      <c r="H8" s="521" t="s">
        <v>75</v>
      </c>
      <c r="I8" s="522"/>
      <c r="J8" s="523"/>
      <c r="K8" s="521" t="s">
        <v>76</v>
      </c>
      <c r="L8" s="522"/>
      <c r="M8" s="523"/>
      <c r="N8" s="521" t="s">
        <v>18</v>
      </c>
      <c r="O8" s="522"/>
      <c r="P8" s="523"/>
      <c r="Q8" s="521" t="s">
        <v>77</v>
      </c>
      <c r="R8" s="522"/>
      <c r="S8" s="522"/>
      <c r="T8" s="515"/>
      <c r="U8" s="515"/>
      <c r="V8" s="515"/>
      <c r="W8" s="515"/>
      <c r="X8" s="515"/>
      <c r="Y8" s="515"/>
      <c r="Z8" s="514" t="s">
        <v>273</v>
      </c>
      <c r="AA8" s="513" t="s">
        <v>274</v>
      </c>
      <c r="AB8" s="513" t="s">
        <v>235</v>
      </c>
      <c r="AC8" s="513" t="s">
        <v>275</v>
      </c>
      <c r="AD8" s="513" t="s">
        <v>276</v>
      </c>
      <c r="AE8" s="514" t="s">
        <v>277</v>
      </c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</row>
    <row r="9" spans="1:226" ht="21" customHeight="1" x14ac:dyDescent="0.25">
      <c r="A9" s="519"/>
      <c r="B9" s="524"/>
      <c r="C9" s="525"/>
      <c r="D9" s="526"/>
      <c r="E9" s="524"/>
      <c r="F9" s="525"/>
      <c r="G9" s="526"/>
      <c r="H9" s="524"/>
      <c r="I9" s="525"/>
      <c r="J9" s="526"/>
      <c r="K9" s="524"/>
      <c r="L9" s="525"/>
      <c r="M9" s="526"/>
      <c r="N9" s="524"/>
      <c r="O9" s="525"/>
      <c r="P9" s="526"/>
      <c r="Q9" s="524"/>
      <c r="R9" s="525"/>
      <c r="S9" s="525"/>
      <c r="T9" s="515"/>
      <c r="U9" s="515"/>
      <c r="V9" s="515"/>
      <c r="W9" s="515"/>
      <c r="X9" s="515"/>
      <c r="Y9" s="515"/>
      <c r="Z9" s="514"/>
      <c r="AA9" s="513"/>
      <c r="AB9" s="513"/>
      <c r="AC9" s="513"/>
      <c r="AD9" s="513"/>
      <c r="AE9" s="514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</row>
    <row r="10" spans="1:226" ht="1.35" hidden="1" customHeight="1" x14ac:dyDescent="0.25">
      <c r="A10" s="519"/>
      <c r="B10" s="42"/>
      <c r="C10" s="207"/>
      <c r="D10" s="207"/>
      <c r="E10" s="42"/>
      <c r="F10" s="207"/>
      <c r="G10" s="207"/>
      <c r="H10" s="42"/>
      <c r="I10" s="207"/>
      <c r="J10" s="207"/>
      <c r="K10" s="42"/>
      <c r="L10" s="207"/>
      <c r="M10" s="207"/>
      <c r="N10" s="42"/>
      <c r="O10" s="208"/>
      <c r="P10" s="208"/>
      <c r="Q10" s="43"/>
      <c r="R10" s="209"/>
      <c r="S10" s="209"/>
      <c r="T10" s="515"/>
      <c r="U10" s="515"/>
      <c r="V10" s="515"/>
      <c r="W10" s="515"/>
      <c r="X10" s="515"/>
      <c r="Y10" s="515"/>
      <c r="Z10" s="514"/>
      <c r="AA10" s="513"/>
      <c r="AB10" s="513"/>
      <c r="AC10" s="513"/>
      <c r="AD10" s="513"/>
      <c r="AE10" s="514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</row>
    <row r="11" spans="1:226" s="3" customFormat="1" ht="6.75" hidden="1" customHeight="1" x14ac:dyDescent="0.2">
      <c r="A11" s="519"/>
      <c r="B11" s="42"/>
      <c r="C11" s="207"/>
      <c r="D11" s="207"/>
      <c r="E11" s="42"/>
      <c r="F11" s="207"/>
      <c r="G11" s="207"/>
      <c r="H11" s="42"/>
      <c r="I11" s="207"/>
      <c r="J11" s="207"/>
      <c r="K11" s="42"/>
      <c r="L11" s="207"/>
      <c r="M11" s="207"/>
      <c r="N11" s="42"/>
      <c r="O11" s="208"/>
      <c r="P11" s="208"/>
      <c r="Q11" s="43"/>
      <c r="R11" s="209"/>
      <c r="S11" s="209"/>
      <c r="T11" s="515"/>
      <c r="U11" s="515"/>
      <c r="V11" s="515"/>
      <c r="W11" s="515"/>
      <c r="X11" s="515"/>
      <c r="Y11" s="515"/>
      <c r="Z11" s="514"/>
      <c r="AA11" s="513"/>
      <c r="AB11" s="513"/>
      <c r="AC11" s="513"/>
      <c r="AD11" s="513"/>
      <c r="AE11" s="51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</row>
    <row r="12" spans="1:226" s="45" customFormat="1" ht="13.7" customHeight="1" thickBot="1" x14ac:dyDescent="0.25">
      <c r="A12" s="520"/>
      <c r="B12" s="167" t="s">
        <v>180</v>
      </c>
      <c r="C12" s="167" t="s">
        <v>220</v>
      </c>
      <c r="D12" s="167" t="s">
        <v>255</v>
      </c>
      <c r="E12" s="167" t="s">
        <v>180</v>
      </c>
      <c r="F12" s="167" t="s">
        <v>220</v>
      </c>
      <c r="G12" s="167" t="s">
        <v>255</v>
      </c>
      <c r="H12" s="167" t="s">
        <v>180</v>
      </c>
      <c r="I12" s="167" t="s">
        <v>220</v>
      </c>
      <c r="J12" s="167" t="s">
        <v>255</v>
      </c>
      <c r="K12" s="167" t="s">
        <v>180</v>
      </c>
      <c r="L12" s="167" t="s">
        <v>220</v>
      </c>
      <c r="M12" s="167" t="s">
        <v>255</v>
      </c>
      <c r="N12" s="167" t="s">
        <v>180</v>
      </c>
      <c r="O12" s="167" t="s">
        <v>220</v>
      </c>
      <c r="P12" s="167" t="s">
        <v>255</v>
      </c>
      <c r="Q12" s="167" t="s">
        <v>180</v>
      </c>
      <c r="R12" s="167" t="s">
        <v>220</v>
      </c>
      <c r="S12" s="167" t="s">
        <v>255</v>
      </c>
      <c r="T12" s="515"/>
      <c r="U12" s="515"/>
      <c r="V12" s="515"/>
      <c r="W12" s="515"/>
      <c r="X12" s="515"/>
      <c r="Y12" s="515"/>
      <c r="Z12" s="514"/>
      <c r="AA12" s="513"/>
      <c r="AB12" s="513"/>
      <c r="AC12" s="513"/>
      <c r="AD12" s="513"/>
      <c r="AE12" s="51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</row>
    <row r="13" spans="1:226" x14ac:dyDescent="0.25">
      <c r="A13" s="205" t="s">
        <v>78</v>
      </c>
      <c r="B13" s="229">
        <v>69000</v>
      </c>
      <c r="C13" s="229">
        <f>B13</f>
        <v>69000</v>
      </c>
      <c r="D13" s="229">
        <f>C13</f>
        <v>69000</v>
      </c>
      <c r="E13" s="229">
        <f>U13</f>
        <v>25000</v>
      </c>
      <c r="F13" s="229">
        <f>E13</f>
        <v>25000</v>
      </c>
      <c r="G13" s="229">
        <f>E13</f>
        <v>25000</v>
      </c>
      <c r="H13" s="229">
        <f>V13</f>
        <v>117000</v>
      </c>
      <c r="I13" s="229">
        <f>H13</f>
        <v>117000</v>
      </c>
      <c r="J13" s="229">
        <f>H13</f>
        <v>117000</v>
      </c>
      <c r="K13" s="229">
        <f>W13</f>
        <v>7000</v>
      </c>
      <c r="L13" s="229">
        <f>K13</f>
        <v>7000</v>
      </c>
      <c r="M13" s="229">
        <f>K13</f>
        <v>7000</v>
      </c>
      <c r="N13" s="230">
        <f>X13</f>
        <v>0</v>
      </c>
      <c r="O13" s="230">
        <f>N13</f>
        <v>0</v>
      </c>
      <c r="P13" s="230">
        <f>O13</f>
        <v>0</v>
      </c>
      <c r="Q13" s="231">
        <f t="shared" ref="Q13:S32" si="0">SUM(N13,K13,H13,E13,B13)</f>
        <v>218000</v>
      </c>
      <c r="R13" s="231">
        <f t="shared" si="0"/>
        <v>218000</v>
      </c>
      <c r="S13" s="231">
        <f t="shared" si="0"/>
        <v>218000</v>
      </c>
      <c r="T13" s="408">
        <v>69000</v>
      </c>
      <c r="U13" s="409">
        <v>25000</v>
      </c>
      <c r="V13" s="409">
        <v>117000</v>
      </c>
      <c r="W13" s="410">
        <v>7000</v>
      </c>
      <c r="X13" s="411">
        <v>0</v>
      </c>
      <c r="Y13" s="411">
        <f>SUM(T13:X13)</f>
        <v>218000</v>
      </c>
      <c r="Z13" s="412">
        <f>'[1]Дотация пос 8'!B10</f>
        <v>4867116.0630036322</v>
      </c>
      <c r="AA13" s="412">
        <f>'[2]коэфф зарплаты'!P7</f>
        <v>0</v>
      </c>
      <c r="AB13" s="412"/>
      <c r="AC13" s="413">
        <f>'[1]Субсид посел №10'!B14</f>
        <v>400000</v>
      </c>
      <c r="AD13" s="412">
        <f>'[1]Субс посел на город среду 11'!C13</f>
        <v>0</v>
      </c>
      <c r="AE13" s="412">
        <f>'[1]ВУС 12'!B12</f>
        <v>119000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</row>
    <row r="14" spans="1:226" x14ac:dyDescent="0.25">
      <c r="A14" s="205" t="s">
        <v>79</v>
      </c>
      <c r="B14" s="229">
        <f>T14</f>
        <v>108000</v>
      </c>
      <c r="C14" s="229">
        <f t="shared" ref="C14:D32" si="1">B14</f>
        <v>108000</v>
      </c>
      <c r="D14" s="229">
        <f t="shared" si="1"/>
        <v>108000</v>
      </c>
      <c r="E14" s="229">
        <f t="shared" ref="E14:E32" si="2">U14</f>
        <v>92000</v>
      </c>
      <c r="F14" s="229">
        <f t="shared" ref="F14:F32" si="3">E14</f>
        <v>92000</v>
      </c>
      <c r="G14" s="229">
        <f t="shared" ref="G14:G32" si="4">E14</f>
        <v>92000</v>
      </c>
      <c r="H14" s="229">
        <f t="shared" ref="H14:H32" si="5">V14</f>
        <v>437000</v>
      </c>
      <c r="I14" s="229">
        <f t="shared" ref="I14:I32" si="6">H14</f>
        <v>437000</v>
      </c>
      <c r="J14" s="229">
        <f t="shared" ref="J14:J32" si="7">H14</f>
        <v>437000</v>
      </c>
      <c r="K14" s="229">
        <f t="shared" ref="K14:K32" si="8">W14</f>
        <v>4000</v>
      </c>
      <c r="L14" s="229">
        <f t="shared" ref="L14:L32" si="9">K14</f>
        <v>4000</v>
      </c>
      <c r="M14" s="229">
        <f t="shared" ref="M14:M32" si="10">K14</f>
        <v>4000</v>
      </c>
      <c r="N14" s="230">
        <f t="shared" ref="N14:N32" si="11">X14</f>
        <v>20000</v>
      </c>
      <c r="O14" s="230">
        <f t="shared" ref="O14:P32" si="12">N14</f>
        <v>20000</v>
      </c>
      <c r="P14" s="230">
        <f t="shared" si="12"/>
        <v>20000</v>
      </c>
      <c r="Q14" s="231">
        <f t="shared" si="0"/>
        <v>661000</v>
      </c>
      <c r="R14" s="231">
        <f t="shared" si="0"/>
        <v>661000</v>
      </c>
      <c r="S14" s="231">
        <f t="shared" si="0"/>
        <v>661000</v>
      </c>
      <c r="T14" s="414">
        <v>108000</v>
      </c>
      <c r="U14" s="411">
        <v>92000</v>
      </c>
      <c r="V14" s="411">
        <v>437000</v>
      </c>
      <c r="W14" s="415">
        <v>4000</v>
      </c>
      <c r="X14" s="411">
        <v>20000</v>
      </c>
      <c r="Y14" s="411">
        <f t="shared" ref="Y14:Y32" si="13">SUM(T14:X14)</f>
        <v>661000</v>
      </c>
      <c r="Z14" s="412">
        <f>'[1]Дотация пос 8'!B11</f>
        <v>10398044.31694328</v>
      </c>
      <c r="AA14" s="412">
        <f>'[2]коэфф зарплаты'!P8</f>
        <v>0</v>
      </c>
      <c r="AB14" s="412"/>
      <c r="AC14" s="413">
        <f>'[1]Субсид посел №10'!B15</f>
        <v>0</v>
      </c>
      <c r="AD14" s="412">
        <f>'[1]Субс посел на город среду 11'!C14</f>
        <v>0</v>
      </c>
      <c r="AE14" s="412">
        <f>'[1]ВУС 12'!B13</f>
        <v>306000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</row>
    <row r="15" spans="1:226" x14ac:dyDescent="0.25">
      <c r="A15" s="205" t="s">
        <v>80</v>
      </c>
      <c r="B15" s="229">
        <f t="shared" ref="B15:B32" si="14">T15</f>
        <v>79000</v>
      </c>
      <c r="C15" s="229">
        <f t="shared" si="1"/>
        <v>79000</v>
      </c>
      <c r="D15" s="229">
        <f t="shared" si="1"/>
        <v>79000</v>
      </c>
      <c r="E15" s="229">
        <f t="shared" si="2"/>
        <v>36000</v>
      </c>
      <c r="F15" s="229">
        <f t="shared" si="3"/>
        <v>36000</v>
      </c>
      <c r="G15" s="229">
        <f t="shared" si="4"/>
        <v>36000</v>
      </c>
      <c r="H15" s="229">
        <f t="shared" si="5"/>
        <v>121000</v>
      </c>
      <c r="I15" s="229">
        <f t="shared" si="6"/>
        <v>121000</v>
      </c>
      <c r="J15" s="229">
        <f t="shared" si="7"/>
        <v>121000</v>
      </c>
      <c r="K15" s="229">
        <f t="shared" si="8"/>
        <v>2000</v>
      </c>
      <c r="L15" s="229">
        <f t="shared" si="9"/>
        <v>2000</v>
      </c>
      <c r="M15" s="229">
        <f t="shared" si="10"/>
        <v>2000</v>
      </c>
      <c r="N15" s="230">
        <f t="shared" si="11"/>
        <v>0</v>
      </c>
      <c r="O15" s="230">
        <f t="shared" si="12"/>
        <v>0</v>
      </c>
      <c r="P15" s="230">
        <f t="shared" si="12"/>
        <v>0</v>
      </c>
      <c r="Q15" s="231">
        <f t="shared" si="0"/>
        <v>238000</v>
      </c>
      <c r="R15" s="231">
        <f t="shared" si="0"/>
        <v>238000</v>
      </c>
      <c r="S15" s="231">
        <f t="shared" si="0"/>
        <v>238000</v>
      </c>
      <c r="T15" s="414">
        <v>79000</v>
      </c>
      <c r="U15" s="411">
        <v>36000</v>
      </c>
      <c r="V15" s="411">
        <v>121000</v>
      </c>
      <c r="W15" s="415">
        <v>2000</v>
      </c>
      <c r="X15" s="411">
        <v>0</v>
      </c>
      <c r="Y15" s="411">
        <f t="shared" si="13"/>
        <v>238000</v>
      </c>
      <c r="Z15" s="412">
        <f>'[1]Дотация пос 8'!B12</f>
        <v>8009727.6677433327</v>
      </c>
      <c r="AA15" s="412">
        <f>'[2]коэфф зарплаты'!P9</f>
        <v>0</v>
      </c>
      <c r="AB15" s="412"/>
      <c r="AC15" s="413">
        <f>'[1]Субсид посел №10'!B16</f>
        <v>0</v>
      </c>
      <c r="AD15" s="412">
        <f>'[1]Субс посел на город среду 11'!C15</f>
        <v>3537667</v>
      </c>
      <c r="AE15" s="412">
        <f>'[1]ВУС 12'!B14</f>
        <v>249000</v>
      </c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</row>
    <row r="16" spans="1:226" x14ac:dyDescent="0.25">
      <c r="A16" s="205" t="s">
        <v>81</v>
      </c>
      <c r="B16" s="229">
        <f t="shared" si="14"/>
        <v>39000</v>
      </c>
      <c r="C16" s="229">
        <f t="shared" si="1"/>
        <v>39000</v>
      </c>
      <c r="D16" s="229">
        <f t="shared" si="1"/>
        <v>39000</v>
      </c>
      <c r="E16" s="229">
        <f t="shared" si="2"/>
        <v>3000</v>
      </c>
      <c r="F16" s="229">
        <f t="shared" si="3"/>
        <v>3000</v>
      </c>
      <c r="G16" s="229">
        <f t="shared" si="4"/>
        <v>3000</v>
      </c>
      <c r="H16" s="229">
        <f t="shared" si="5"/>
        <v>33000</v>
      </c>
      <c r="I16" s="229">
        <f t="shared" si="6"/>
        <v>33000</v>
      </c>
      <c r="J16" s="229">
        <f t="shared" si="7"/>
        <v>33000</v>
      </c>
      <c r="K16" s="229">
        <f t="shared" si="8"/>
        <v>2000</v>
      </c>
      <c r="L16" s="229">
        <f t="shared" si="9"/>
        <v>2000</v>
      </c>
      <c r="M16" s="229">
        <f t="shared" si="10"/>
        <v>2000</v>
      </c>
      <c r="N16" s="230">
        <f t="shared" si="11"/>
        <v>0</v>
      </c>
      <c r="O16" s="230">
        <f t="shared" si="12"/>
        <v>0</v>
      </c>
      <c r="P16" s="230">
        <f t="shared" si="12"/>
        <v>0</v>
      </c>
      <c r="Q16" s="231">
        <f t="shared" si="0"/>
        <v>77000</v>
      </c>
      <c r="R16" s="231">
        <f t="shared" si="0"/>
        <v>77000</v>
      </c>
      <c r="S16" s="231">
        <f t="shared" si="0"/>
        <v>77000</v>
      </c>
      <c r="T16" s="414">
        <v>39000</v>
      </c>
      <c r="U16" s="411">
        <v>3000</v>
      </c>
      <c r="V16" s="411">
        <v>33000</v>
      </c>
      <c r="W16" s="415">
        <v>2000</v>
      </c>
      <c r="X16" s="411">
        <v>0</v>
      </c>
      <c r="Y16" s="411">
        <f t="shared" si="13"/>
        <v>77000</v>
      </c>
      <c r="Z16" s="412">
        <f>'[1]Дотация пос 8'!B13</f>
        <v>2475984.1592845023</v>
      </c>
      <c r="AA16" s="412">
        <f>'[2]коэфф зарплаты'!P10</f>
        <v>0</v>
      </c>
      <c r="AB16" s="412"/>
      <c r="AC16" s="413">
        <f>'[1]Субсид посел №10'!B17</f>
        <v>0</v>
      </c>
      <c r="AD16" s="412">
        <f>'[1]Субс посел на город среду 11'!C16</f>
        <v>0</v>
      </c>
      <c r="AE16" s="412">
        <f>'[1]ВУС 12'!B15</f>
        <v>105000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</row>
    <row r="17" spans="1:226" x14ac:dyDescent="0.25">
      <c r="A17" s="205" t="s">
        <v>82</v>
      </c>
      <c r="B17" s="229">
        <v>2280000</v>
      </c>
      <c r="C17" s="229">
        <f t="shared" si="1"/>
        <v>2280000</v>
      </c>
      <c r="D17" s="229">
        <f t="shared" si="1"/>
        <v>2280000</v>
      </c>
      <c r="E17" s="229">
        <v>440000</v>
      </c>
      <c r="F17" s="229">
        <f t="shared" si="3"/>
        <v>440000</v>
      </c>
      <c r="G17" s="229">
        <f t="shared" si="4"/>
        <v>440000</v>
      </c>
      <c r="H17" s="229">
        <f t="shared" si="5"/>
        <v>892000</v>
      </c>
      <c r="I17" s="229">
        <f t="shared" si="6"/>
        <v>892000</v>
      </c>
      <c r="J17" s="229">
        <f t="shared" si="7"/>
        <v>892000</v>
      </c>
      <c r="K17" s="229">
        <f t="shared" si="8"/>
        <v>8000</v>
      </c>
      <c r="L17" s="229">
        <f t="shared" si="9"/>
        <v>8000</v>
      </c>
      <c r="M17" s="229">
        <f t="shared" si="10"/>
        <v>8000</v>
      </c>
      <c r="N17" s="230">
        <f t="shared" si="11"/>
        <v>250000</v>
      </c>
      <c r="O17" s="230">
        <f t="shared" si="12"/>
        <v>250000</v>
      </c>
      <c r="P17" s="230">
        <f t="shared" si="12"/>
        <v>250000</v>
      </c>
      <c r="Q17" s="231">
        <f t="shared" si="0"/>
        <v>3870000</v>
      </c>
      <c r="R17" s="231">
        <f t="shared" si="0"/>
        <v>3870000</v>
      </c>
      <c r="S17" s="231">
        <f t="shared" si="0"/>
        <v>3870000</v>
      </c>
      <c r="T17" s="414">
        <v>2280000</v>
      </c>
      <c r="U17" s="411">
        <v>440000</v>
      </c>
      <c r="V17" s="411">
        <v>892000</v>
      </c>
      <c r="W17" s="415">
        <v>8000</v>
      </c>
      <c r="X17" s="411">
        <v>250000</v>
      </c>
      <c r="Y17" s="411">
        <f t="shared" si="13"/>
        <v>3870000</v>
      </c>
      <c r="Z17" s="412">
        <f>'[1]Дотация пос 8'!B14</f>
        <v>17328450.764017839</v>
      </c>
      <c r="AA17" s="412">
        <f>'[2]коэфф зарплаты'!P11</f>
        <v>0</v>
      </c>
      <c r="AB17" s="412"/>
      <c r="AC17" s="413">
        <f>'[1]Субсид посел №10'!B18</f>
        <v>0</v>
      </c>
      <c r="AD17" s="412">
        <f>'[1]Субс посел на город среду 11'!C17</f>
        <v>0</v>
      </c>
      <c r="AE17" s="412">
        <f>'[1]ВУС 12'!B16</f>
        <v>0</v>
      </c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</row>
    <row r="18" spans="1:226" x14ac:dyDescent="0.25">
      <c r="A18" s="205" t="s">
        <v>83</v>
      </c>
      <c r="B18" s="229">
        <f t="shared" si="14"/>
        <v>70000</v>
      </c>
      <c r="C18" s="229">
        <f t="shared" si="1"/>
        <v>70000</v>
      </c>
      <c r="D18" s="229">
        <f t="shared" si="1"/>
        <v>70000</v>
      </c>
      <c r="E18" s="229">
        <f t="shared" si="2"/>
        <v>65000</v>
      </c>
      <c r="F18" s="229">
        <f t="shared" si="3"/>
        <v>65000</v>
      </c>
      <c r="G18" s="229">
        <f t="shared" si="4"/>
        <v>65000</v>
      </c>
      <c r="H18" s="229">
        <f t="shared" si="5"/>
        <v>228000</v>
      </c>
      <c r="I18" s="229">
        <f t="shared" si="6"/>
        <v>228000</v>
      </c>
      <c r="J18" s="229">
        <f t="shared" si="7"/>
        <v>228000</v>
      </c>
      <c r="K18" s="229">
        <f t="shared" si="8"/>
        <v>8000</v>
      </c>
      <c r="L18" s="229">
        <f t="shared" si="9"/>
        <v>8000</v>
      </c>
      <c r="M18" s="229">
        <f t="shared" si="10"/>
        <v>8000</v>
      </c>
      <c r="N18" s="230">
        <f t="shared" si="11"/>
        <v>0</v>
      </c>
      <c r="O18" s="230">
        <f t="shared" si="12"/>
        <v>0</v>
      </c>
      <c r="P18" s="230">
        <f t="shared" si="12"/>
        <v>0</v>
      </c>
      <c r="Q18" s="231">
        <f t="shared" si="0"/>
        <v>371000</v>
      </c>
      <c r="R18" s="231">
        <f t="shared" si="0"/>
        <v>371000</v>
      </c>
      <c r="S18" s="231">
        <f t="shared" si="0"/>
        <v>371000</v>
      </c>
      <c r="T18" s="414">
        <v>70000</v>
      </c>
      <c r="U18" s="411">
        <v>65000</v>
      </c>
      <c r="V18" s="411">
        <v>228000</v>
      </c>
      <c r="W18" s="415">
        <v>8000</v>
      </c>
      <c r="X18" s="411">
        <v>0</v>
      </c>
      <c r="Y18" s="411">
        <f t="shared" si="13"/>
        <v>371000</v>
      </c>
      <c r="Z18" s="412">
        <f>'[1]Дотация пос 8'!B15</f>
        <v>6403241.2245554477</v>
      </c>
      <c r="AA18" s="412">
        <f>'[2]коэфф зарплаты'!P12</f>
        <v>0</v>
      </c>
      <c r="AB18" s="412"/>
      <c r="AC18" s="413">
        <f>'[1]Субсид посел №10'!B19</f>
        <v>0</v>
      </c>
      <c r="AD18" s="412">
        <f>'[1]Субс посел на город среду 11'!C18</f>
        <v>2845984</v>
      </c>
      <c r="AE18" s="412">
        <f>'[1]ВУС 12'!B17</f>
        <v>277000</v>
      </c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</row>
    <row r="19" spans="1:226" x14ac:dyDescent="0.25">
      <c r="A19" s="205" t="s">
        <v>84</v>
      </c>
      <c r="B19" s="229">
        <f t="shared" si="14"/>
        <v>68000</v>
      </c>
      <c r="C19" s="229">
        <f t="shared" si="1"/>
        <v>68000</v>
      </c>
      <c r="D19" s="229">
        <f t="shared" si="1"/>
        <v>68000</v>
      </c>
      <c r="E19" s="229">
        <f t="shared" si="2"/>
        <v>76000</v>
      </c>
      <c r="F19" s="229">
        <f t="shared" si="3"/>
        <v>76000</v>
      </c>
      <c r="G19" s="229">
        <f t="shared" si="4"/>
        <v>76000</v>
      </c>
      <c r="H19" s="229">
        <f t="shared" si="5"/>
        <v>158000</v>
      </c>
      <c r="I19" s="229">
        <f t="shared" si="6"/>
        <v>158000</v>
      </c>
      <c r="J19" s="229">
        <f t="shared" si="7"/>
        <v>158000</v>
      </c>
      <c r="K19" s="229">
        <f t="shared" si="8"/>
        <v>3000</v>
      </c>
      <c r="L19" s="229">
        <f t="shared" si="9"/>
        <v>3000</v>
      </c>
      <c r="M19" s="229">
        <f t="shared" si="10"/>
        <v>3000</v>
      </c>
      <c r="N19" s="230">
        <f t="shared" si="11"/>
        <v>42000</v>
      </c>
      <c r="O19" s="230">
        <f t="shared" si="12"/>
        <v>42000</v>
      </c>
      <c r="P19" s="230">
        <f t="shared" si="12"/>
        <v>42000</v>
      </c>
      <c r="Q19" s="231">
        <f t="shared" si="0"/>
        <v>347000</v>
      </c>
      <c r="R19" s="231">
        <f t="shared" si="0"/>
        <v>347000</v>
      </c>
      <c r="S19" s="231">
        <f t="shared" si="0"/>
        <v>347000</v>
      </c>
      <c r="T19" s="414">
        <v>68000</v>
      </c>
      <c r="U19" s="411">
        <v>76000</v>
      </c>
      <c r="V19" s="411">
        <v>158000</v>
      </c>
      <c r="W19" s="415">
        <v>3000</v>
      </c>
      <c r="X19" s="411">
        <v>42000</v>
      </c>
      <c r="Y19" s="411">
        <f t="shared" si="13"/>
        <v>347000</v>
      </c>
      <c r="Z19" s="412">
        <f>'[1]Дотация пос 8'!B16</f>
        <v>5840551.5411116136</v>
      </c>
      <c r="AA19" s="412">
        <f>'[2]коэфф зарплаты'!P13</f>
        <v>0</v>
      </c>
      <c r="AB19" s="412"/>
      <c r="AC19" s="413">
        <f>'[1]Субсид посел №10'!B20</f>
        <v>1000000</v>
      </c>
      <c r="AD19" s="412">
        <f>'[1]Субс посел на город среду 11'!C19</f>
        <v>0</v>
      </c>
      <c r="AE19" s="412">
        <f>'[1]ВУС 12'!B18</f>
        <v>282000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</row>
    <row r="20" spans="1:226" x14ac:dyDescent="0.25">
      <c r="A20" s="205" t="s">
        <v>85</v>
      </c>
      <c r="B20" s="229">
        <f t="shared" si="14"/>
        <v>33000</v>
      </c>
      <c r="C20" s="229">
        <f t="shared" si="1"/>
        <v>33000</v>
      </c>
      <c r="D20" s="229">
        <f t="shared" si="1"/>
        <v>33000</v>
      </c>
      <c r="E20" s="229">
        <f t="shared" si="2"/>
        <v>9000</v>
      </c>
      <c r="F20" s="229">
        <f t="shared" si="3"/>
        <v>9000</v>
      </c>
      <c r="G20" s="229">
        <f t="shared" si="4"/>
        <v>9000</v>
      </c>
      <c r="H20" s="229">
        <f t="shared" si="5"/>
        <v>97000</v>
      </c>
      <c r="I20" s="229">
        <f t="shared" si="6"/>
        <v>97000</v>
      </c>
      <c r="J20" s="229">
        <f t="shared" si="7"/>
        <v>97000</v>
      </c>
      <c r="K20" s="229">
        <f t="shared" si="8"/>
        <v>2000</v>
      </c>
      <c r="L20" s="229">
        <f t="shared" si="9"/>
        <v>2000</v>
      </c>
      <c r="M20" s="229">
        <f t="shared" si="10"/>
        <v>2000</v>
      </c>
      <c r="N20" s="230">
        <f t="shared" si="11"/>
        <v>0</v>
      </c>
      <c r="O20" s="230">
        <f t="shared" si="12"/>
        <v>0</v>
      </c>
      <c r="P20" s="230">
        <f t="shared" si="12"/>
        <v>0</v>
      </c>
      <c r="Q20" s="231">
        <f t="shared" si="0"/>
        <v>141000</v>
      </c>
      <c r="R20" s="231">
        <f t="shared" si="0"/>
        <v>141000</v>
      </c>
      <c r="S20" s="231">
        <f t="shared" si="0"/>
        <v>141000</v>
      </c>
      <c r="T20" s="414">
        <v>33000</v>
      </c>
      <c r="U20" s="411">
        <v>9000</v>
      </c>
      <c r="V20" s="411">
        <v>97000</v>
      </c>
      <c r="W20" s="415">
        <v>2000</v>
      </c>
      <c r="X20" s="411">
        <v>0</v>
      </c>
      <c r="Y20" s="411">
        <f t="shared" si="13"/>
        <v>141000</v>
      </c>
      <c r="Z20" s="412">
        <f>'[1]Дотация пос 8'!B17</f>
        <v>2891881.8760668058</v>
      </c>
      <c r="AA20" s="412">
        <f>'[2]коэфф зарплаты'!P14</f>
        <v>0</v>
      </c>
      <c r="AB20" s="412"/>
      <c r="AC20" s="413">
        <f>'[1]Субсид посел №10'!B21</f>
        <v>0</v>
      </c>
      <c r="AD20" s="412">
        <f>'[1]Субс посел на город среду 11'!C20</f>
        <v>0</v>
      </c>
      <c r="AE20" s="412">
        <f>'[1]ВУС 12'!B19</f>
        <v>110000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</row>
    <row r="21" spans="1:226" x14ac:dyDescent="0.25">
      <c r="A21" s="205" t="s">
        <v>86</v>
      </c>
      <c r="B21" s="229">
        <f t="shared" si="14"/>
        <v>25000</v>
      </c>
      <c r="C21" s="229">
        <f t="shared" si="1"/>
        <v>25000</v>
      </c>
      <c r="D21" s="229">
        <f t="shared" si="1"/>
        <v>25000</v>
      </c>
      <c r="E21" s="229">
        <f t="shared" si="2"/>
        <v>9000</v>
      </c>
      <c r="F21" s="229">
        <f t="shared" si="3"/>
        <v>9000</v>
      </c>
      <c r="G21" s="229">
        <f t="shared" si="4"/>
        <v>9000</v>
      </c>
      <c r="H21" s="229">
        <f t="shared" si="5"/>
        <v>46000</v>
      </c>
      <c r="I21" s="229">
        <f t="shared" si="6"/>
        <v>46000</v>
      </c>
      <c r="J21" s="229">
        <f t="shared" si="7"/>
        <v>46000</v>
      </c>
      <c r="K21" s="229">
        <f t="shared" si="8"/>
        <v>2000</v>
      </c>
      <c r="L21" s="229">
        <f t="shared" si="9"/>
        <v>2000</v>
      </c>
      <c r="M21" s="229">
        <f t="shared" si="10"/>
        <v>2000</v>
      </c>
      <c r="N21" s="230">
        <f t="shared" si="11"/>
        <v>0</v>
      </c>
      <c r="O21" s="230">
        <f t="shared" si="12"/>
        <v>0</v>
      </c>
      <c r="P21" s="230">
        <f t="shared" si="12"/>
        <v>0</v>
      </c>
      <c r="Q21" s="231">
        <f t="shared" si="0"/>
        <v>82000</v>
      </c>
      <c r="R21" s="231">
        <f t="shared" si="0"/>
        <v>82000</v>
      </c>
      <c r="S21" s="231">
        <f t="shared" si="0"/>
        <v>82000</v>
      </c>
      <c r="T21" s="414">
        <v>25000</v>
      </c>
      <c r="U21" s="411">
        <v>9000</v>
      </c>
      <c r="V21" s="411">
        <v>46000</v>
      </c>
      <c r="W21" s="415">
        <v>2000</v>
      </c>
      <c r="X21" s="411">
        <v>0</v>
      </c>
      <c r="Y21" s="411">
        <f t="shared" si="13"/>
        <v>82000</v>
      </c>
      <c r="Z21" s="412">
        <f>'[1]Дотация пос 8'!B18</f>
        <v>3673554.2554770755</v>
      </c>
      <c r="AA21" s="412">
        <f>'[2]коэфф зарплаты'!P15</f>
        <v>0</v>
      </c>
      <c r="AB21" s="412"/>
      <c r="AC21" s="413">
        <f>'[1]Субсид посел №10'!B22</f>
        <v>2410000</v>
      </c>
      <c r="AD21" s="412">
        <f>'[1]Субс посел на город среду 11'!C21</f>
        <v>0</v>
      </c>
      <c r="AE21" s="412">
        <f>'[1]ВУС 12'!B20</f>
        <v>102000</v>
      </c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</row>
    <row r="22" spans="1:226" x14ac:dyDescent="0.25">
      <c r="A22" s="205" t="s">
        <v>87</v>
      </c>
      <c r="B22" s="229">
        <f t="shared" si="14"/>
        <v>19000</v>
      </c>
      <c r="C22" s="229">
        <f t="shared" si="1"/>
        <v>19000</v>
      </c>
      <c r="D22" s="229">
        <f t="shared" si="1"/>
        <v>19000</v>
      </c>
      <c r="E22" s="229">
        <f t="shared" si="2"/>
        <v>4000</v>
      </c>
      <c r="F22" s="229">
        <f t="shared" si="3"/>
        <v>4000</v>
      </c>
      <c r="G22" s="229">
        <f t="shared" si="4"/>
        <v>4000</v>
      </c>
      <c r="H22" s="229">
        <f t="shared" si="5"/>
        <v>15000</v>
      </c>
      <c r="I22" s="229">
        <f t="shared" si="6"/>
        <v>15000</v>
      </c>
      <c r="J22" s="229">
        <f t="shared" si="7"/>
        <v>15000</v>
      </c>
      <c r="K22" s="229">
        <f t="shared" si="8"/>
        <v>0</v>
      </c>
      <c r="L22" s="229">
        <f t="shared" si="9"/>
        <v>0</v>
      </c>
      <c r="M22" s="229">
        <f t="shared" si="10"/>
        <v>0</v>
      </c>
      <c r="N22" s="230">
        <f t="shared" si="11"/>
        <v>0</v>
      </c>
      <c r="O22" s="230">
        <f t="shared" si="12"/>
        <v>0</v>
      </c>
      <c r="P22" s="230">
        <f t="shared" si="12"/>
        <v>0</v>
      </c>
      <c r="Q22" s="231">
        <f t="shared" si="0"/>
        <v>38000</v>
      </c>
      <c r="R22" s="231">
        <f t="shared" si="0"/>
        <v>38000</v>
      </c>
      <c r="S22" s="231">
        <f t="shared" si="0"/>
        <v>38000</v>
      </c>
      <c r="T22" s="414">
        <v>19000</v>
      </c>
      <c r="U22" s="411">
        <v>4000</v>
      </c>
      <c r="V22" s="411">
        <v>15000</v>
      </c>
      <c r="W22" s="415">
        <v>0</v>
      </c>
      <c r="X22" s="411">
        <v>0</v>
      </c>
      <c r="Y22" s="411">
        <f t="shared" si="13"/>
        <v>38000</v>
      </c>
      <c r="Z22" s="412">
        <f>'[1]Дотация пос 8'!B19</f>
        <v>2670487.9669462265</v>
      </c>
      <c r="AA22" s="412">
        <f>'[2]коэфф зарплаты'!P16</f>
        <v>0</v>
      </c>
      <c r="AB22" s="412"/>
      <c r="AC22" s="413">
        <f>'[1]Субсид посел №10'!B23</f>
        <v>1043000</v>
      </c>
      <c r="AD22" s="412">
        <f>'[1]Субс посел на город среду 11'!C22</f>
        <v>0</v>
      </c>
      <c r="AE22" s="412">
        <f>'[1]ВУС 12'!B21</f>
        <v>91000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</row>
    <row r="23" spans="1:226" x14ac:dyDescent="0.25">
      <c r="A23" s="205" t="s">
        <v>88</v>
      </c>
      <c r="B23" s="229">
        <f t="shared" si="14"/>
        <v>18700</v>
      </c>
      <c r="C23" s="229">
        <f t="shared" si="1"/>
        <v>18700</v>
      </c>
      <c r="D23" s="229">
        <f t="shared" si="1"/>
        <v>18700</v>
      </c>
      <c r="E23" s="229">
        <f t="shared" si="2"/>
        <v>9000</v>
      </c>
      <c r="F23" s="229">
        <f t="shared" si="3"/>
        <v>9000</v>
      </c>
      <c r="G23" s="229">
        <f t="shared" si="4"/>
        <v>9000</v>
      </c>
      <c r="H23" s="229">
        <f t="shared" si="5"/>
        <v>35000</v>
      </c>
      <c r="I23" s="229">
        <f t="shared" si="6"/>
        <v>35000</v>
      </c>
      <c r="J23" s="229">
        <f t="shared" si="7"/>
        <v>35000</v>
      </c>
      <c r="K23" s="229">
        <f t="shared" si="8"/>
        <v>2000</v>
      </c>
      <c r="L23" s="229">
        <f t="shared" si="9"/>
        <v>2000</v>
      </c>
      <c r="M23" s="229">
        <f t="shared" si="10"/>
        <v>2000</v>
      </c>
      <c r="N23" s="230">
        <f t="shared" si="11"/>
        <v>0</v>
      </c>
      <c r="O23" s="230">
        <f t="shared" si="12"/>
        <v>0</v>
      </c>
      <c r="P23" s="230">
        <f t="shared" si="12"/>
        <v>0</v>
      </c>
      <c r="Q23" s="231">
        <f t="shared" si="0"/>
        <v>64700</v>
      </c>
      <c r="R23" s="231">
        <f t="shared" si="0"/>
        <v>64700</v>
      </c>
      <c r="S23" s="231">
        <f t="shared" si="0"/>
        <v>64700</v>
      </c>
      <c r="T23" s="414">
        <v>18700</v>
      </c>
      <c r="U23" s="411">
        <v>9000</v>
      </c>
      <c r="V23" s="411">
        <v>35000</v>
      </c>
      <c r="W23" s="415">
        <v>2000</v>
      </c>
      <c r="X23" s="411">
        <v>0</v>
      </c>
      <c r="Y23" s="411">
        <f t="shared" si="13"/>
        <v>64700</v>
      </c>
      <c r="Z23" s="412">
        <f>'[1]Дотация пос 8'!B20</f>
        <v>1947004.0148178223</v>
      </c>
      <c r="AA23" s="412">
        <f>'[2]коэфф зарплаты'!P17</f>
        <v>0</v>
      </c>
      <c r="AB23" s="412"/>
      <c r="AC23" s="413">
        <f>'[1]Субсид посел №10'!B24</f>
        <v>600000</v>
      </c>
      <c r="AD23" s="412">
        <f>'[1]Субс посел на город среду 11'!C23</f>
        <v>0</v>
      </c>
      <c r="AE23" s="412">
        <f>'[1]ВУС 12'!B22</f>
        <v>103000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</row>
    <row r="24" spans="1:226" x14ac:dyDescent="0.25">
      <c r="A24" s="205" t="s">
        <v>89</v>
      </c>
      <c r="B24" s="229">
        <f t="shared" si="14"/>
        <v>37000</v>
      </c>
      <c r="C24" s="229">
        <f t="shared" si="1"/>
        <v>37000</v>
      </c>
      <c r="D24" s="229">
        <f t="shared" si="1"/>
        <v>37000</v>
      </c>
      <c r="E24" s="229">
        <f t="shared" si="2"/>
        <v>48000</v>
      </c>
      <c r="F24" s="229">
        <f t="shared" si="3"/>
        <v>48000</v>
      </c>
      <c r="G24" s="229">
        <f t="shared" si="4"/>
        <v>48000</v>
      </c>
      <c r="H24" s="229">
        <f t="shared" si="5"/>
        <v>91000</v>
      </c>
      <c r="I24" s="229">
        <f t="shared" si="6"/>
        <v>91000</v>
      </c>
      <c r="J24" s="229">
        <f t="shared" si="7"/>
        <v>91000</v>
      </c>
      <c r="K24" s="229">
        <f t="shared" si="8"/>
        <v>0</v>
      </c>
      <c r="L24" s="229">
        <f t="shared" si="9"/>
        <v>0</v>
      </c>
      <c r="M24" s="229">
        <f t="shared" si="10"/>
        <v>0</v>
      </c>
      <c r="N24" s="230">
        <f t="shared" si="11"/>
        <v>0</v>
      </c>
      <c r="O24" s="230">
        <f t="shared" si="12"/>
        <v>0</v>
      </c>
      <c r="P24" s="230">
        <f t="shared" si="12"/>
        <v>0</v>
      </c>
      <c r="Q24" s="231">
        <f t="shared" si="0"/>
        <v>176000</v>
      </c>
      <c r="R24" s="231">
        <f t="shared" si="0"/>
        <v>176000</v>
      </c>
      <c r="S24" s="231">
        <f t="shared" si="0"/>
        <v>176000</v>
      </c>
      <c r="T24" s="414">
        <v>37000</v>
      </c>
      <c r="U24" s="411">
        <v>48000</v>
      </c>
      <c r="V24" s="411">
        <v>91000</v>
      </c>
      <c r="W24" s="415">
        <v>0</v>
      </c>
      <c r="X24" s="411">
        <v>0</v>
      </c>
      <c r="Y24" s="411">
        <f t="shared" si="13"/>
        <v>176000</v>
      </c>
      <c r="Z24" s="412">
        <f>'[1]Дотация пос 8'!B21</f>
        <v>3894920.6608049241</v>
      </c>
      <c r="AA24" s="412">
        <f>'[2]коэфф зарплаты'!P18</f>
        <v>0</v>
      </c>
      <c r="AB24" s="412"/>
      <c r="AC24" s="413">
        <f>'[1]Субсид посел №10'!B25</f>
        <v>320000</v>
      </c>
      <c r="AD24" s="412">
        <f>'[1]Субс посел на город среду 11'!C24</f>
        <v>2108135</v>
      </c>
      <c r="AE24" s="412">
        <f>'[1]ВУС 12'!B23</f>
        <v>102000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</row>
    <row r="25" spans="1:226" x14ac:dyDescent="0.25">
      <c r="A25" s="205" t="s">
        <v>90</v>
      </c>
      <c r="B25" s="229">
        <f t="shared" si="14"/>
        <v>79000</v>
      </c>
      <c r="C25" s="229">
        <f t="shared" si="1"/>
        <v>79000</v>
      </c>
      <c r="D25" s="229">
        <f t="shared" si="1"/>
        <v>79000</v>
      </c>
      <c r="E25" s="229">
        <f t="shared" si="2"/>
        <v>116000</v>
      </c>
      <c r="F25" s="229">
        <f t="shared" si="3"/>
        <v>116000</v>
      </c>
      <c r="G25" s="229">
        <f t="shared" si="4"/>
        <v>116000</v>
      </c>
      <c r="H25" s="229">
        <f t="shared" si="5"/>
        <v>266000</v>
      </c>
      <c r="I25" s="229">
        <f t="shared" si="6"/>
        <v>266000</v>
      </c>
      <c r="J25" s="229">
        <f t="shared" si="7"/>
        <v>266000</v>
      </c>
      <c r="K25" s="229">
        <f t="shared" si="8"/>
        <v>0</v>
      </c>
      <c r="L25" s="229">
        <f t="shared" si="9"/>
        <v>0</v>
      </c>
      <c r="M25" s="229">
        <f t="shared" si="10"/>
        <v>0</v>
      </c>
      <c r="N25" s="230">
        <f t="shared" si="11"/>
        <v>0</v>
      </c>
      <c r="O25" s="230">
        <f t="shared" si="12"/>
        <v>0</v>
      </c>
      <c r="P25" s="230">
        <f t="shared" si="12"/>
        <v>0</v>
      </c>
      <c r="Q25" s="231">
        <f t="shared" si="0"/>
        <v>461000</v>
      </c>
      <c r="R25" s="231">
        <f t="shared" si="0"/>
        <v>461000</v>
      </c>
      <c r="S25" s="231">
        <f t="shared" si="0"/>
        <v>461000</v>
      </c>
      <c r="T25" s="416">
        <v>79000</v>
      </c>
      <c r="U25" s="411">
        <v>116000</v>
      </c>
      <c r="V25" s="411">
        <v>266000</v>
      </c>
      <c r="W25" s="415">
        <v>0</v>
      </c>
      <c r="X25" s="411">
        <v>0</v>
      </c>
      <c r="Y25" s="411">
        <f t="shared" si="13"/>
        <v>461000</v>
      </c>
      <c r="Z25" s="412">
        <f>'[1]Дотация пос 8'!B22</f>
        <v>6676103.0280587766</v>
      </c>
      <c r="AA25" s="412">
        <f>'[2]коэфф зарплаты'!P19</f>
        <v>0</v>
      </c>
      <c r="AB25" s="412"/>
      <c r="AC25" s="413">
        <f>'[1]Субсид посел №10'!B26</f>
        <v>800000</v>
      </c>
      <c r="AD25" s="412">
        <f>'[1]Субс посел на город среду 11'!C25</f>
        <v>0</v>
      </c>
      <c r="AE25" s="412">
        <f>'[1]ВУС 12'!B24</f>
        <v>254000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</row>
    <row r="26" spans="1:226" x14ac:dyDescent="0.25">
      <c r="A26" s="205" t="s">
        <v>91</v>
      </c>
      <c r="B26" s="229">
        <f t="shared" si="14"/>
        <v>67000</v>
      </c>
      <c r="C26" s="229">
        <f t="shared" si="1"/>
        <v>67000</v>
      </c>
      <c r="D26" s="229">
        <f t="shared" si="1"/>
        <v>67000</v>
      </c>
      <c r="E26" s="229">
        <f t="shared" si="2"/>
        <v>21000</v>
      </c>
      <c r="F26" s="229">
        <f t="shared" si="3"/>
        <v>21000</v>
      </c>
      <c r="G26" s="229">
        <f t="shared" si="4"/>
        <v>21000</v>
      </c>
      <c r="H26" s="229">
        <f t="shared" si="5"/>
        <v>63000</v>
      </c>
      <c r="I26" s="229">
        <f t="shared" si="6"/>
        <v>63000</v>
      </c>
      <c r="J26" s="229">
        <f t="shared" si="7"/>
        <v>63000</v>
      </c>
      <c r="K26" s="229">
        <f t="shared" si="8"/>
        <v>0</v>
      </c>
      <c r="L26" s="229">
        <f t="shared" si="9"/>
        <v>0</v>
      </c>
      <c r="M26" s="229">
        <f t="shared" si="10"/>
        <v>0</v>
      </c>
      <c r="N26" s="230">
        <f t="shared" si="11"/>
        <v>0</v>
      </c>
      <c r="O26" s="230">
        <f t="shared" si="12"/>
        <v>0</v>
      </c>
      <c r="P26" s="230">
        <f t="shared" si="12"/>
        <v>0</v>
      </c>
      <c r="Q26" s="231">
        <f t="shared" si="0"/>
        <v>151000</v>
      </c>
      <c r="R26" s="231">
        <f t="shared" si="0"/>
        <v>151000</v>
      </c>
      <c r="S26" s="231">
        <f t="shared" si="0"/>
        <v>151000</v>
      </c>
      <c r="T26" s="414">
        <v>67000</v>
      </c>
      <c r="U26" s="411">
        <v>21000</v>
      </c>
      <c r="V26" s="411">
        <v>63000</v>
      </c>
      <c r="W26" s="415">
        <v>0</v>
      </c>
      <c r="X26" s="411">
        <v>0</v>
      </c>
      <c r="Y26" s="411">
        <f t="shared" si="13"/>
        <v>151000</v>
      </c>
      <c r="Z26" s="412">
        <f>'[1]Дотация пос 8'!B23</f>
        <v>5586815.8329180544</v>
      </c>
      <c r="AA26" s="412">
        <f>'[2]коэфф зарплаты'!P20</f>
        <v>0</v>
      </c>
      <c r="AB26" s="412"/>
      <c r="AC26" s="413">
        <f>'[1]Субсид посел №10'!B27</f>
        <v>900000</v>
      </c>
      <c r="AD26" s="412">
        <f>'[1]Субс посел на город среду 11'!C26</f>
        <v>0</v>
      </c>
      <c r="AE26" s="412">
        <f>'[1]ВУС 12'!B25</f>
        <v>246000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</row>
    <row r="27" spans="1:226" x14ac:dyDescent="0.25">
      <c r="A27" s="205" t="s">
        <v>92</v>
      </c>
      <c r="B27" s="229">
        <f t="shared" si="14"/>
        <v>31000</v>
      </c>
      <c r="C27" s="229">
        <f t="shared" si="1"/>
        <v>31000</v>
      </c>
      <c r="D27" s="229">
        <f t="shared" si="1"/>
        <v>31000</v>
      </c>
      <c r="E27" s="229">
        <f t="shared" si="2"/>
        <v>8000</v>
      </c>
      <c r="F27" s="229">
        <f t="shared" si="3"/>
        <v>8000</v>
      </c>
      <c r="G27" s="229">
        <f t="shared" si="4"/>
        <v>8000</v>
      </c>
      <c r="H27" s="229">
        <f t="shared" si="5"/>
        <v>93000</v>
      </c>
      <c r="I27" s="229">
        <f t="shared" si="6"/>
        <v>93000</v>
      </c>
      <c r="J27" s="229">
        <f t="shared" si="7"/>
        <v>93000</v>
      </c>
      <c r="K27" s="229">
        <f t="shared" si="8"/>
        <v>3000</v>
      </c>
      <c r="L27" s="229">
        <f t="shared" si="9"/>
        <v>3000</v>
      </c>
      <c r="M27" s="229">
        <f t="shared" si="10"/>
        <v>3000</v>
      </c>
      <c r="N27" s="230">
        <f t="shared" si="11"/>
        <v>0</v>
      </c>
      <c r="O27" s="230">
        <f t="shared" si="12"/>
        <v>0</v>
      </c>
      <c r="P27" s="230">
        <f t="shared" si="12"/>
        <v>0</v>
      </c>
      <c r="Q27" s="231">
        <f t="shared" si="0"/>
        <v>135000</v>
      </c>
      <c r="R27" s="231">
        <f t="shared" si="0"/>
        <v>135000</v>
      </c>
      <c r="S27" s="231">
        <f t="shared" si="0"/>
        <v>135000</v>
      </c>
      <c r="T27" s="414">
        <v>31000</v>
      </c>
      <c r="U27" s="411">
        <v>8000</v>
      </c>
      <c r="V27" s="411">
        <v>93000</v>
      </c>
      <c r="W27" s="415">
        <v>3000</v>
      </c>
      <c r="X27" s="411">
        <v>0</v>
      </c>
      <c r="Y27" s="411">
        <f t="shared" si="13"/>
        <v>135000</v>
      </c>
      <c r="Z27" s="412">
        <f>'[1]Дотация пос 8'!B24</f>
        <v>2943907.2467029095</v>
      </c>
      <c r="AA27" s="412">
        <f>'[2]коэфф зарплаты'!P21</f>
        <v>0</v>
      </c>
      <c r="AB27" s="412"/>
      <c r="AC27" s="413">
        <f>'[1]Субсид посел №10'!B28</f>
        <v>0</v>
      </c>
      <c r="AD27" s="412">
        <f>'[1]Субс посел на город среду 11'!C27</f>
        <v>0</v>
      </c>
      <c r="AE27" s="412">
        <f>'[1]ВУС 12'!B26</f>
        <v>108000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</row>
    <row r="28" spans="1:226" x14ac:dyDescent="0.25">
      <c r="A28" s="205" t="s">
        <v>93</v>
      </c>
      <c r="B28" s="229">
        <f t="shared" si="14"/>
        <v>26000</v>
      </c>
      <c r="C28" s="229">
        <f t="shared" si="1"/>
        <v>26000</v>
      </c>
      <c r="D28" s="229">
        <f t="shared" si="1"/>
        <v>26000</v>
      </c>
      <c r="E28" s="229">
        <f t="shared" si="2"/>
        <v>9000</v>
      </c>
      <c r="F28" s="229">
        <f t="shared" si="3"/>
        <v>9000</v>
      </c>
      <c r="G28" s="229">
        <f t="shared" si="4"/>
        <v>9000</v>
      </c>
      <c r="H28" s="229">
        <f t="shared" si="5"/>
        <v>78000</v>
      </c>
      <c r="I28" s="229">
        <f t="shared" si="6"/>
        <v>78000</v>
      </c>
      <c r="J28" s="229">
        <f t="shared" si="7"/>
        <v>78000</v>
      </c>
      <c r="K28" s="229">
        <f t="shared" si="8"/>
        <v>0</v>
      </c>
      <c r="L28" s="229">
        <f t="shared" si="9"/>
        <v>0</v>
      </c>
      <c r="M28" s="229">
        <f t="shared" si="10"/>
        <v>0</v>
      </c>
      <c r="N28" s="230">
        <f t="shared" si="11"/>
        <v>0</v>
      </c>
      <c r="O28" s="230">
        <f t="shared" si="12"/>
        <v>0</v>
      </c>
      <c r="P28" s="230">
        <f t="shared" si="12"/>
        <v>0</v>
      </c>
      <c r="Q28" s="231">
        <f t="shared" si="0"/>
        <v>113000</v>
      </c>
      <c r="R28" s="231">
        <f t="shared" si="0"/>
        <v>113000</v>
      </c>
      <c r="S28" s="231">
        <f t="shared" si="0"/>
        <v>113000</v>
      </c>
      <c r="T28" s="414">
        <v>26000</v>
      </c>
      <c r="U28" s="411">
        <v>9000</v>
      </c>
      <c r="V28" s="411">
        <v>78000</v>
      </c>
      <c r="W28" s="415">
        <v>0</v>
      </c>
      <c r="X28" s="411">
        <v>0</v>
      </c>
      <c r="Y28" s="411">
        <f t="shared" si="13"/>
        <v>113000</v>
      </c>
      <c r="Z28" s="412">
        <f>'[1]Дотация пос 8'!B25</f>
        <v>2290818.1906907125</v>
      </c>
      <c r="AA28" s="412">
        <f>'[2]коэфф зарплаты'!P22</f>
        <v>0</v>
      </c>
      <c r="AB28" s="412"/>
      <c r="AC28" s="413">
        <f>'[1]Субсид посел №10'!B29</f>
        <v>300000</v>
      </c>
      <c r="AD28" s="412">
        <f>'[1]Субс посел на город среду 11'!C28</f>
        <v>0</v>
      </c>
      <c r="AE28" s="412">
        <f>'[1]ВУС 12'!B27</f>
        <v>91000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</row>
    <row r="29" spans="1:226" x14ac:dyDescent="0.25">
      <c r="A29" s="205" t="s">
        <v>94</v>
      </c>
      <c r="B29" s="229">
        <f t="shared" si="14"/>
        <v>67000</v>
      </c>
      <c r="C29" s="229">
        <f t="shared" si="1"/>
        <v>67000</v>
      </c>
      <c r="D29" s="229">
        <f t="shared" si="1"/>
        <v>67000</v>
      </c>
      <c r="E29" s="229">
        <f t="shared" si="2"/>
        <v>43000</v>
      </c>
      <c r="F29" s="229">
        <f t="shared" si="3"/>
        <v>43000</v>
      </c>
      <c r="G29" s="229">
        <f t="shared" si="4"/>
        <v>43000</v>
      </c>
      <c r="H29" s="229">
        <f t="shared" si="5"/>
        <v>205000</v>
      </c>
      <c r="I29" s="229">
        <f t="shared" si="6"/>
        <v>205000</v>
      </c>
      <c r="J29" s="229">
        <f t="shared" si="7"/>
        <v>205000</v>
      </c>
      <c r="K29" s="229">
        <f t="shared" si="8"/>
        <v>0</v>
      </c>
      <c r="L29" s="229">
        <f t="shared" si="9"/>
        <v>0</v>
      </c>
      <c r="M29" s="229">
        <f t="shared" si="10"/>
        <v>0</v>
      </c>
      <c r="N29" s="230">
        <f t="shared" si="11"/>
        <v>0</v>
      </c>
      <c r="O29" s="230">
        <f t="shared" si="12"/>
        <v>0</v>
      </c>
      <c r="P29" s="230">
        <f t="shared" si="12"/>
        <v>0</v>
      </c>
      <c r="Q29" s="231">
        <f t="shared" si="0"/>
        <v>315000</v>
      </c>
      <c r="R29" s="231">
        <f t="shared" si="0"/>
        <v>315000</v>
      </c>
      <c r="S29" s="231">
        <f t="shared" si="0"/>
        <v>315000</v>
      </c>
      <c r="T29" s="414">
        <v>67000</v>
      </c>
      <c r="U29" s="411">
        <v>43000</v>
      </c>
      <c r="V29" s="411">
        <v>205000</v>
      </c>
      <c r="W29" s="415">
        <v>0</v>
      </c>
      <c r="X29" s="411">
        <v>0</v>
      </c>
      <c r="Y29" s="411">
        <f t="shared" si="13"/>
        <v>315000</v>
      </c>
      <c r="Z29" s="412">
        <f>'[1]Дотация пос 8'!B26</f>
        <v>4828991.2975423485</v>
      </c>
      <c r="AA29" s="412">
        <f>'[2]коэфф зарплаты'!P23</f>
        <v>0</v>
      </c>
      <c r="AB29" s="412"/>
      <c r="AC29" s="413">
        <f>'[1]Субсид посел №10'!B30</f>
        <v>0</v>
      </c>
      <c r="AD29" s="412">
        <f>'[1]Субс посел на город среду 11'!C29</f>
        <v>0</v>
      </c>
      <c r="AE29" s="412">
        <f>'[1]ВУС 12'!B28</f>
        <v>249000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</row>
    <row r="30" spans="1:226" x14ac:dyDescent="0.25">
      <c r="A30" s="205" t="s">
        <v>95</v>
      </c>
      <c r="B30" s="229">
        <f t="shared" si="14"/>
        <v>45000</v>
      </c>
      <c r="C30" s="229">
        <f t="shared" si="1"/>
        <v>45000</v>
      </c>
      <c r="D30" s="229">
        <f t="shared" si="1"/>
        <v>45000</v>
      </c>
      <c r="E30" s="229">
        <f t="shared" si="2"/>
        <v>5000</v>
      </c>
      <c r="F30" s="229">
        <f t="shared" si="3"/>
        <v>5000</v>
      </c>
      <c r="G30" s="229">
        <f t="shared" si="4"/>
        <v>5000</v>
      </c>
      <c r="H30" s="229">
        <f t="shared" si="5"/>
        <v>35000</v>
      </c>
      <c r="I30" s="229">
        <f t="shared" si="6"/>
        <v>35000</v>
      </c>
      <c r="J30" s="229">
        <f t="shared" si="7"/>
        <v>35000</v>
      </c>
      <c r="K30" s="229">
        <f t="shared" si="8"/>
        <v>6000</v>
      </c>
      <c r="L30" s="229">
        <f t="shared" si="9"/>
        <v>6000</v>
      </c>
      <c r="M30" s="229">
        <f t="shared" si="10"/>
        <v>6000</v>
      </c>
      <c r="N30" s="230">
        <f t="shared" si="11"/>
        <v>0</v>
      </c>
      <c r="O30" s="230">
        <f t="shared" si="12"/>
        <v>0</v>
      </c>
      <c r="P30" s="230">
        <f t="shared" si="12"/>
        <v>0</v>
      </c>
      <c r="Q30" s="231">
        <f t="shared" si="0"/>
        <v>91000</v>
      </c>
      <c r="R30" s="231">
        <f t="shared" si="0"/>
        <v>91000</v>
      </c>
      <c r="S30" s="231">
        <f t="shared" si="0"/>
        <v>91000</v>
      </c>
      <c r="T30" s="414">
        <v>45000</v>
      </c>
      <c r="U30" s="411">
        <v>5000</v>
      </c>
      <c r="V30" s="411">
        <v>35000</v>
      </c>
      <c r="W30" s="415">
        <v>6000</v>
      </c>
      <c r="X30" s="411">
        <v>0</v>
      </c>
      <c r="Y30" s="411">
        <f t="shared" si="13"/>
        <v>91000</v>
      </c>
      <c r="Z30" s="412">
        <f>'[1]Дотация пос 8'!B27</f>
        <v>3267077.1775838826</v>
      </c>
      <c r="AA30" s="412">
        <f>'[2]коэфф зарплаты'!P24</f>
        <v>0</v>
      </c>
      <c r="AB30" s="412"/>
      <c r="AC30" s="413">
        <f>'[1]Субсид посел №10'!B31</f>
        <v>0</v>
      </c>
      <c r="AD30" s="412">
        <f>'[1]Субс посел на город среду 11'!C30</f>
        <v>0</v>
      </c>
      <c r="AE30" s="412">
        <f>'[1]ВУС 12'!B29</f>
        <v>112000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</row>
    <row r="31" spans="1:226" x14ac:dyDescent="0.25">
      <c r="A31" s="205" t="s">
        <v>96</v>
      </c>
      <c r="B31" s="229">
        <f t="shared" si="14"/>
        <v>24000</v>
      </c>
      <c r="C31" s="229">
        <f t="shared" si="1"/>
        <v>24000</v>
      </c>
      <c r="D31" s="229">
        <f t="shared" si="1"/>
        <v>24000</v>
      </c>
      <c r="E31" s="229">
        <f t="shared" si="2"/>
        <v>2000</v>
      </c>
      <c r="F31" s="229">
        <f t="shared" si="3"/>
        <v>2000</v>
      </c>
      <c r="G31" s="229">
        <f t="shared" si="4"/>
        <v>2000</v>
      </c>
      <c r="H31" s="229">
        <f t="shared" si="5"/>
        <v>20000</v>
      </c>
      <c r="I31" s="229">
        <f t="shared" si="6"/>
        <v>20000</v>
      </c>
      <c r="J31" s="229">
        <f t="shared" si="7"/>
        <v>20000</v>
      </c>
      <c r="K31" s="229">
        <f t="shared" si="8"/>
        <v>1000</v>
      </c>
      <c r="L31" s="229">
        <f t="shared" si="9"/>
        <v>1000</v>
      </c>
      <c r="M31" s="229">
        <f t="shared" si="10"/>
        <v>1000</v>
      </c>
      <c r="N31" s="230">
        <f t="shared" si="11"/>
        <v>0</v>
      </c>
      <c r="O31" s="230">
        <f t="shared" si="12"/>
        <v>0</v>
      </c>
      <c r="P31" s="230">
        <f t="shared" si="12"/>
        <v>0</v>
      </c>
      <c r="Q31" s="231">
        <f t="shared" si="0"/>
        <v>47000</v>
      </c>
      <c r="R31" s="231">
        <f t="shared" si="0"/>
        <v>47000</v>
      </c>
      <c r="S31" s="231">
        <f t="shared" si="0"/>
        <v>47000</v>
      </c>
      <c r="T31" s="414">
        <v>24000</v>
      </c>
      <c r="U31" s="411">
        <v>2000</v>
      </c>
      <c r="V31" s="411">
        <v>20000</v>
      </c>
      <c r="W31" s="415">
        <v>1000</v>
      </c>
      <c r="X31" s="411"/>
      <c r="Y31" s="411">
        <f t="shared" si="13"/>
        <v>47000</v>
      </c>
      <c r="Z31" s="412">
        <f>'[1]Дотация пос 8'!B28</f>
        <v>2312227.5800418104</v>
      </c>
      <c r="AA31" s="412">
        <f>'[2]коэфф зарплаты'!P25</f>
        <v>0</v>
      </c>
      <c r="AB31" s="412"/>
      <c r="AC31" s="413">
        <f>'[1]Субсид посел №10'!B32</f>
        <v>0</v>
      </c>
      <c r="AD31" s="412">
        <f>'[1]Субс посел на город среду 11'!C31</f>
        <v>0</v>
      </c>
      <c r="AE31" s="412">
        <f>'[1]ВУС 12'!B30</f>
        <v>107000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</row>
    <row r="32" spans="1:226" ht="15.75" thickBot="1" x14ac:dyDescent="0.3">
      <c r="A32" s="205" t="s">
        <v>97</v>
      </c>
      <c r="B32" s="229">
        <f t="shared" si="14"/>
        <v>34000</v>
      </c>
      <c r="C32" s="229">
        <f t="shared" si="1"/>
        <v>34000</v>
      </c>
      <c r="D32" s="229">
        <f t="shared" si="1"/>
        <v>34000</v>
      </c>
      <c r="E32" s="229">
        <f t="shared" si="2"/>
        <v>7000</v>
      </c>
      <c r="F32" s="229">
        <f t="shared" si="3"/>
        <v>7000</v>
      </c>
      <c r="G32" s="229">
        <f t="shared" si="4"/>
        <v>7000</v>
      </c>
      <c r="H32" s="229">
        <f t="shared" si="5"/>
        <v>70000</v>
      </c>
      <c r="I32" s="229">
        <f t="shared" si="6"/>
        <v>70000</v>
      </c>
      <c r="J32" s="229">
        <f t="shared" si="7"/>
        <v>70000</v>
      </c>
      <c r="K32" s="229">
        <f t="shared" si="8"/>
        <v>3000</v>
      </c>
      <c r="L32" s="229">
        <f t="shared" si="9"/>
        <v>3000</v>
      </c>
      <c r="M32" s="229">
        <f t="shared" si="10"/>
        <v>3000</v>
      </c>
      <c r="N32" s="230">
        <f t="shared" si="11"/>
        <v>0</v>
      </c>
      <c r="O32" s="230">
        <f t="shared" si="12"/>
        <v>0</v>
      </c>
      <c r="P32" s="230">
        <f t="shared" si="12"/>
        <v>0</v>
      </c>
      <c r="Q32" s="231">
        <f t="shared" si="0"/>
        <v>114000</v>
      </c>
      <c r="R32" s="231">
        <f t="shared" si="0"/>
        <v>114000</v>
      </c>
      <c r="S32" s="231">
        <f t="shared" si="0"/>
        <v>114000</v>
      </c>
      <c r="T32" s="414">
        <v>34000</v>
      </c>
      <c r="U32" s="411">
        <v>7000</v>
      </c>
      <c r="V32" s="411">
        <v>70000</v>
      </c>
      <c r="W32" s="415">
        <v>3000</v>
      </c>
      <c r="X32" s="411"/>
      <c r="Y32" s="411">
        <f t="shared" si="13"/>
        <v>114000</v>
      </c>
      <c r="Z32" s="412">
        <f>'[1]Дотация пос 8'!B29</f>
        <v>2819095.1356890188</v>
      </c>
      <c r="AA32" s="412">
        <f>'[2]коэфф зарплаты'!P26</f>
        <v>0</v>
      </c>
      <c r="AB32" s="412"/>
      <c r="AC32" s="413">
        <f>'[1]Субсид посел №10'!B33</f>
        <v>0</v>
      </c>
      <c r="AD32" s="412">
        <f>'[1]Субс посел на город среду 11'!C32</f>
        <v>0</v>
      </c>
      <c r="AE32" s="412">
        <f>'[1]ВУС 12'!B31</f>
        <v>96000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</row>
    <row r="33" spans="1:31" ht="15.75" thickBot="1" x14ac:dyDescent="0.3">
      <c r="A33" s="46" t="s">
        <v>1</v>
      </c>
      <c r="B33" s="232">
        <f>SUM(B13:B32)</f>
        <v>3218700</v>
      </c>
      <c r="C33" s="232">
        <f t="shared" ref="C33:Z33" si="15">SUM(C13:C32)</f>
        <v>3218700</v>
      </c>
      <c r="D33" s="232">
        <f t="shared" si="15"/>
        <v>3218700</v>
      </c>
      <c r="E33" s="232">
        <f t="shared" si="15"/>
        <v>1027000</v>
      </c>
      <c r="F33" s="232">
        <f t="shared" si="15"/>
        <v>1027000</v>
      </c>
      <c r="G33" s="232">
        <f t="shared" si="15"/>
        <v>1027000</v>
      </c>
      <c r="H33" s="232">
        <f t="shared" si="15"/>
        <v>3100000</v>
      </c>
      <c r="I33" s="232">
        <f t="shared" si="15"/>
        <v>3100000</v>
      </c>
      <c r="J33" s="232">
        <f t="shared" si="15"/>
        <v>3100000</v>
      </c>
      <c r="K33" s="232">
        <f t="shared" si="15"/>
        <v>53000</v>
      </c>
      <c r="L33" s="232">
        <f t="shared" si="15"/>
        <v>53000</v>
      </c>
      <c r="M33" s="232">
        <f t="shared" si="15"/>
        <v>53000</v>
      </c>
      <c r="N33" s="232">
        <f t="shared" si="15"/>
        <v>312000</v>
      </c>
      <c r="O33" s="232">
        <f t="shared" si="15"/>
        <v>312000</v>
      </c>
      <c r="P33" s="232">
        <f t="shared" si="15"/>
        <v>312000</v>
      </c>
      <c r="Q33" s="232">
        <f t="shared" si="15"/>
        <v>7710700</v>
      </c>
      <c r="R33" s="232">
        <f t="shared" si="15"/>
        <v>7710700</v>
      </c>
      <c r="S33" s="232">
        <f t="shared" si="15"/>
        <v>7710700</v>
      </c>
      <c r="T33" s="417">
        <f t="shared" si="15"/>
        <v>3218700</v>
      </c>
      <c r="U33" s="418">
        <f t="shared" si="15"/>
        <v>1027000</v>
      </c>
      <c r="V33" s="418">
        <f t="shared" si="15"/>
        <v>3100000</v>
      </c>
      <c r="W33" s="419">
        <f t="shared" si="15"/>
        <v>53000</v>
      </c>
      <c r="X33" s="419">
        <f t="shared" si="15"/>
        <v>312000</v>
      </c>
      <c r="Y33" s="420">
        <f t="shared" si="15"/>
        <v>7710700</v>
      </c>
      <c r="Z33" s="421">
        <f t="shared" si="15"/>
        <v>101126000.00000001</v>
      </c>
      <c r="AA33" s="412">
        <f>'[2]коэфф зарплаты'!P27</f>
        <v>0</v>
      </c>
      <c r="AB33" s="412" t="e">
        <f>'[2]Субсид посел №12'!B35</f>
        <v>#REF!</v>
      </c>
      <c r="AC33" s="413">
        <f>'[2]Субсид посел №12'!B34/1000</f>
        <v>0</v>
      </c>
      <c r="AD33" s="421">
        <f>SUM(AD13:AD32)</f>
        <v>8491786</v>
      </c>
      <c r="AE33" s="421">
        <f>SUM(AE13:AE32)</f>
        <v>3109000</v>
      </c>
    </row>
    <row r="34" spans="1:31" x14ac:dyDescent="0.25">
      <c r="A34" s="3"/>
      <c r="B34" s="3"/>
      <c r="C34" s="3"/>
      <c r="D34" s="3"/>
      <c r="E34" s="233"/>
      <c r="F34" s="233"/>
      <c r="G34" s="233"/>
      <c r="H34" s="233"/>
      <c r="I34" s="233"/>
      <c r="J34" s="233"/>
      <c r="K34" s="234"/>
      <c r="L34" s="234"/>
      <c r="M34" s="234"/>
      <c r="N34" s="3"/>
      <c r="O34" s="3"/>
      <c r="P34" s="3"/>
      <c r="Q34" s="3"/>
      <c r="R34" s="3"/>
      <c r="S34" s="3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</row>
    <row r="35" spans="1:31" s="168" customFormat="1" ht="11.25" x14ac:dyDescent="0.2">
      <c r="A35" s="168" t="s">
        <v>278</v>
      </c>
      <c r="B35" s="235"/>
      <c r="C35" s="235"/>
      <c r="D35" s="235"/>
      <c r="E35" s="236"/>
      <c r="F35" s="236"/>
      <c r="G35" s="236"/>
      <c r="H35" s="236"/>
      <c r="I35" s="236"/>
      <c r="J35" s="236"/>
      <c r="K35" s="235"/>
      <c r="L35" s="235"/>
      <c r="M35" s="235"/>
      <c r="N35" s="235"/>
      <c r="O35" s="235"/>
      <c r="P35" s="235"/>
      <c r="Q35" s="235"/>
      <c r="R35" s="235"/>
      <c r="S35" s="235"/>
    </row>
    <row r="36" spans="1:31" s="168" customFormat="1" ht="11.25" x14ac:dyDescent="0.2">
      <c r="A36" s="168" t="s">
        <v>279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1:3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48" spans="1:31" x14ac:dyDescent="0.25">
      <c r="Q48" s="47"/>
      <c r="R48" s="47"/>
      <c r="S48" s="47"/>
    </row>
  </sheetData>
  <mergeCells count="27">
    <mergeCell ref="G2:I2"/>
    <mergeCell ref="G3:I3"/>
    <mergeCell ref="G4:I4"/>
    <mergeCell ref="P2:S2"/>
    <mergeCell ref="P3:S3"/>
    <mergeCell ref="P4:S4"/>
    <mergeCell ref="K5:S5"/>
    <mergeCell ref="A6:S6"/>
    <mergeCell ref="A8:A12"/>
    <mergeCell ref="B8:D9"/>
    <mergeCell ref="E8:G9"/>
    <mergeCell ref="H8:J9"/>
    <mergeCell ref="K8:M9"/>
    <mergeCell ref="N8:P9"/>
    <mergeCell ref="Q8:S9"/>
    <mergeCell ref="T6:T12"/>
    <mergeCell ref="U6:U12"/>
    <mergeCell ref="V6:V12"/>
    <mergeCell ref="W6:W12"/>
    <mergeCell ref="X6:X12"/>
    <mergeCell ref="AD8:AD12"/>
    <mergeCell ref="AE8:AE12"/>
    <mergeCell ref="Y6:Y12"/>
    <mergeCell ref="Z8:Z12"/>
    <mergeCell ref="AA8:AA12"/>
    <mergeCell ref="AB8:AB12"/>
    <mergeCell ref="AC8:AC12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6"/>
  <sheetViews>
    <sheetView zoomScaleNormal="100" workbookViewId="0">
      <selection activeCell="B3" sqref="B3:D3"/>
    </sheetView>
  </sheetViews>
  <sheetFormatPr defaultRowHeight="15" x14ac:dyDescent="0.25"/>
  <cols>
    <col min="1" max="1" width="37.140625" customWidth="1"/>
    <col min="2" max="2" width="11" customWidth="1"/>
    <col min="3" max="3" width="10.42578125" customWidth="1"/>
    <col min="4" max="4" width="12.5703125" customWidth="1"/>
    <col min="5" max="6" width="10.85546875" customWidth="1"/>
    <col min="7" max="7" width="10.7109375" customWidth="1"/>
    <col min="8" max="8" width="11.28515625" customWidth="1"/>
    <col min="9" max="9" width="11" customWidth="1"/>
    <col min="10" max="10" width="10.28515625" style="242" customWidth="1"/>
    <col min="11" max="11" width="9.42578125" customWidth="1"/>
    <col min="12" max="12" width="10.7109375" customWidth="1"/>
  </cols>
  <sheetData>
    <row r="1" spans="1:226" s="2" customFormat="1" ht="12.75" x14ac:dyDescent="0.2">
      <c r="A1" s="422"/>
      <c r="B1" s="540" t="s">
        <v>596</v>
      </c>
      <c r="C1" s="540"/>
      <c r="D1" s="540"/>
      <c r="E1" s="210"/>
      <c r="F1" s="210"/>
      <c r="G1" s="66"/>
      <c r="I1" s="67"/>
      <c r="J1" s="238"/>
      <c r="K1" s="67"/>
      <c r="L1" s="67"/>
    </row>
    <row r="2" spans="1:226" s="2" customFormat="1" ht="12.75" x14ac:dyDescent="0.2">
      <c r="A2" s="422"/>
      <c r="B2" s="540" t="s">
        <v>571</v>
      </c>
      <c r="C2" s="540"/>
      <c r="D2" s="540"/>
      <c r="E2" s="210"/>
      <c r="F2" s="210"/>
      <c r="G2" s="239"/>
      <c r="I2" s="67"/>
      <c r="J2" s="238"/>
      <c r="K2" s="67"/>
      <c r="L2" s="67"/>
    </row>
    <row r="3" spans="1:226" s="2" customFormat="1" ht="12.75" x14ac:dyDescent="0.2">
      <c r="A3" s="422"/>
      <c r="B3" s="540" t="s">
        <v>623</v>
      </c>
      <c r="C3" s="540"/>
      <c r="D3" s="540"/>
      <c r="E3" s="210"/>
      <c r="F3" s="210"/>
      <c r="G3" s="239"/>
      <c r="I3" s="67"/>
      <c r="J3" s="238"/>
      <c r="K3" s="67"/>
      <c r="L3" s="67"/>
    </row>
    <row r="4" spans="1:226" s="2" customFormat="1" ht="12.75" x14ac:dyDescent="0.2">
      <c r="A4" s="540"/>
      <c r="B4" s="540"/>
      <c r="C4" s="540"/>
      <c r="D4" s="540"/>
      <c r="E4" s="210"/>
      <c r="F4" s="210"/>
      <c r="G4" s="239"/>
      <c r="I4" s="67"/>
      <c r="J4" s="238"/>
      <c r="K4" s="67"/>
      <c r="L4" s="67"/>
    </row>
    <row r="5" spans="1:226" s="2" customFormat="1" ht="12.75" x14ac:dyDescent="0.2">
      <c r="A5" s="422"/>
      <c r="B5" s="541"/>
      <c r="C5" s="541"/>
      <c r="D5" s="541"/>
      <c r="E5" s="210"/>
      <c r="F5" s="210"/>
      <c r="G5" s="239"/>
      <c r="I5" s="67"/>
      <c r="J5" s="238"/>
      <c r="K5" s="67"/>
      <c r="L5" s="67"/>
    </row>
    <row r="6" spans="1:226" s="2" customFormat="1" ht="70.5" customHeight="1" thickBot="1" x14ac:dyDescent="0.25">
      <c r="A6" s="543" t="s">
        <v>280</v>
      </c>
      <c r="B6" s="543"/>
      <c r="C6" s="543"/>
      <c r="D6" s="543"/>
      <c r="E6" s="211"/>
      <c r="F6" s="212"/>
      <c r="G6" s="67"/>
      <c r="I6" s="67"/>
      <c r="J6" s="238"/>
      <c r="K6" s="67" t="s">
        <v>281</v>
      </c>
      <c r="L6" s="67"/>
    </row>
    <row r="7" spans="1:226" s="2" customFormat="1" ht="38.65" customHeight="1" x14ac:dyDescent="0.2">
      <c r="A7" s="544" t="s">
        <v>104</v>
      </c>
      <c r="B7" s="547" t="s">
        <v>105</v>
      </c>
      <c r="C7" s="548"/>
      <c r="D7" s="548"/>
      <c r="E7" s="534"/>
      <c r="F7" s="536"/>
      <c r="G7" s="538" t="s">
        <v>282</v>
      </c>
      <c r="H7" s="528" t="s">
        <v>283</v>
      </c>
      <c r="I7" s="528" t="s">
        <v>284</v>
      </c>
      <c r="J7" s="528" t="s">
        <v>285</v>
      </c>
      <c r="K7" s="529" t="s">
        <v>286</v>
      </c>
      <c r="L7" s="530" t="s">
        <v>287</v>
      </c>
      <c r="M7" s="532" t="s">
        <v>288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</row>
    <row r="8" spans="1:226" s="2" customFormat="1" ht="11.25" customHeight="1" x14ac:dyDescent="0.2">
      <c r="A8" s="545"/>
      <c r="B8" s="542" t="s">
        <v>180</v>
      </c>
      <c r="C8" s="542" t="s">
        <v>220</v>
      </c>
      <c r="D8" s="542" t="s">
        <v>255</v>
      </c>
      <c r="E8" s="535"/>
      <c r="F8" s="537"/>
      <c r="G8" s="539"/>
      <c r="H8" s="528"/>
      <c r="I8" s="528"/>
      <c r="J8" s="528"/>
      <c r="K8" s="529"/>
      <c r="L8" s="531"/>
      <c r="M8" s="533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</row>
    <row r="9" spans="1:226" s="2" customFormat="1" ht="86.65" customHeight="1" thickBot="1" x14ac:dyDescent="0.25">
      <c r="A9" s="546"/>
      <c r="B9" s="542"/>
      <c r="C9" s="542"/>
      <c r="D9" s="542"/>
      <c r="E9" s="385" t="s">
        <v>289</v>
      </c>
      <c r="F9" s="385"/>
      <c r="G9" s="386"/>
      <c r="H9" s="387"/>
      <c r="I9" s="387"/>
      <c r="J9" s="388"/>
      <c r="K9" s="389"/>
      <c r="L9" s="390"/>
      <c r="M9" s="391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</row>
    <row r="10" spans="1:226" s="2" customFormat="1" ht="12.75" x14ac:dyDescent="0.2">
      <c r="A10" s="423" t="s">
        <v>78</v>
      </c>
      <c r="B10" s="424">
        <f>'[1]Полож дотац'!B2</f>
        <v>4867116.0630036322</v>
      </c>
      <c r="C10" s="424">
        <f t="shared" ref="C10:C29" si="0">($C$34/$B$30)*B10</f>
        <v>3893702.4762480156</v>
      </c>
      <c r="D10" s="18">
        <f>C10</f>
        <v>3893702.4762480156</v>
      </c>
      <c r="E10" s="392">
        <v>4836939</v>
      </c>
      <c r="F10" s="392">
        <f t="shared" ref="F10:F29" si="1">B10-E10</f>
        <v>30177.06300363224</v>
      </c>
      <c r="G10" s="393">
        <f>'[2]Расч дот РФФПП'!D7</f>
        <v>3045</v>
      </c>
      <c r="H10" s="392">
        <v>4836939</v>
      </c>
      <c r="I10" s="240">
        <f t="shared" ref="I10:I29" si="2">B10-H10</f>
        <v>30177.06300363224</v>
      </c>
      <c r="J10" s="394">
        <f>'[2]Налоги посел 8'!Q14+'[2]Дотация пос 10'!B11</f>
        <v>5085116.0630036322</v>
      </c>
      <c r="K10" s="395">
        <v>2380.9479999999999</v>
      </c>
      <c r="L10" s="396">
        <f t="shared" ref="L10:L29" si="3">J10-K10</f>
        <v>5082735.1150036324</v>
      </c>
      <c r="M10" s="397">
        <f t="shared" ref="M10:M30" si="4">J10/G10</f>
        <v>1669.9888548451995</v>
      </c>
      <c r="N10" s="67"/>
      <c r="O10" s="67"/>
      <c r="P10" s="69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</row>
    <row r="11" spans="1:226" s="2" customFormat="1" ht="12.75" x14ac:dyDescent="0.2">
      <c r="A11" s="205" t="s">
        <v>79</v>
      </c>
      <c r="B11" s="424">
        <f>'[1]Полож дотац'!B3</f>
        <v>10398044.31694328</v>
      </c>
      <c r="C11" s="424">
        <f t="shared" si="0"/>
        <v>8318456.0180866271</v>
      </c>
      <c r="D11" s="18">
        <f t="shared" ref="D11:D29" si="5">C11</f>
        <v>8318456.0180866271</v>
      </c>
      <c r="E11" s="392">
        <v>10333574</v>
      </c>
      <c r="F11" s="392">
        <f t="shared" si="1"/>
        <v>64470.316943280399</v>
      </c>
      <c r="G11" s="393">
        <f>'[2]Расч дот РФФПП'!D8</f>
        <v>6815</v>
      </c>
      <c r="H11" s="392">
        <v>10333574</v>
      </c>
      <c r="I11" s="240">
        <f t="shared" si="2"/>
        <v>64470.316943280399</v>
      </c>
      <c r="J11" s="394">
        <f>'[2]Налоги посел 8'!Q15+'[2]Дотация пос 10'!B12</f>
        <v>11059044.31694328</v>
      </c>
      <c r="K11" s="395">
        <v>4167.2820000000002</v>
      </c>
      <c r="L11" s="396">
        <f t="shared" si="3"/>
        <v>11054877.034943281</v>
      </c>
      <c r="M11" s="397">
        <f t="shared" si="4"/>
        <v>1622.750450028361</v>
      </c>
      <c r="N11" s="67"/>
      <c r="O11" s="67"/>
      <c r="P11" s="69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</row>
    <row r="12" spans="1:226" s="2" customFormat="1" ht="12.75" x14ac:dyDescent="0.2">
      <c r="A12" s="205" t="s">
        <v>80</v>
      </c>
      <c r="B12" s="424">
        <f>'[1]Полож дотац'!B4</f>
        <v>8009727.6677433327</v>
      </c>
      <c r="C12" s="424">
        <f t="shared" si="0"/>
        <v>6407797.9752793871</v>
      </c>
      <c r="D12" s="18">
        <f t="shared" si="5"/>
        <v>6407797.9752793871</v>
      </c>
      <c r="E12" s="392">
        <v>7960066</v>
      </c>
      <c r="F12" s="392">
        <f t="shared" si="1"/>
        <v>49661.667743332684</v>
      </c>
      <c r="G12" s="393">
        <f>'[2]Расч дот РФФПП'!D9</f>
        <v>5383</v>
      </c>
      <c r="H12" s="392">
        <v>7960066</v>
      </c>
      <c r="I12" s="240">
        <f t="shared" si="2"/>
        <v>49661.667743332684</v>
      </c>
      <c r="J12" s="394">
        <f>'[2]Налоги посел 8'!Q16+'[2]Дотация пос 10'!B13</f>
        <v>8247727.6677433327</v>
      </c>
      <c r="K12" s="395">
        <v>3059.9769999999999</v>
      </c>
      <c r="L12" s="396">
        <f t="shared" si="3"/>
        <v>8244667.6907433327</v>
      </c>
      <c r="M12" s="397">
        <f t="shared" si="4"/>
        <v>1532.1805067329244</v>
      </c>
      <c r="N12" s="67"/>
      <c r="O12" s="67"/>
      <c r="P12" s="69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</row>
    <row r="13" spans="1:226" s="2" customFormat="1" ht="12.75" x14ac:dyDescent="0.2">
      <c r="A13" s="205" t="s">
        <v>81</v>
      </c>
      <c r="B13" s="424">
        <f>'[1]Полож дотац'!B5</f>
        <v>2475984.1592845023</v>
      </c>
      <c r="C13" s="424">
        <f t="shared" si="0"/>
        <v>1980792.2242576142</v>
      </c>
      <c r="D13" s="18">
        <f t="shared" si="5"/>
        <v>1980792.2242576142</v>
      </c>
      <c r="E13" s="392">
        <v>2460633</v>
      </c>
      <c r="F13" s="392">
        <f t="shared" si="1"/>
        <v>15351.159284502268</v>
      </c>
      <c r="G13" s="393">
        <f>'[2]Расч дот РФФПП'!D10</f>
        <v>818</v>
      </c>
      <c r="H13" s="392">
        <v>2460633</v>
      </c>
      <c r="I13" s="240">
        <f t="shared" si="2"/>
        <v>15351.159284502268</v>
      </c>
      <c r="J13" s="394">
        <f>'[2]Налоги посел 8'!Q17+'[2]Дотация пос 10'!B14</f>
        <v>2552984.1592845023</v>
      </c>
      <c r="K13" s="395">
        <v>1533.39</v>
      </c>
      <c r="L13" s="396">
        <f t="shared" si="3"/>
        <v>2551450.7692845021</v>
      </c>
      <c r="M13" s="397">
        <f t="shared" si="4"/>
        <v>3121.0075296876557</v>
      </c>
      <c r="N13" s="67"/>
      <c r="O13" s="67"/>
      <c r="P13" s="69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</row>
    <row r="14" spans="1:226" s="2" customFormat="1" ht="12.75" x14ac:dyDescent="0.2">
      <c r="A14" s="205" t="s">
        <v>82</v>
      </c>
      <c r="B14" s="424">
        <f>'[1]Полож дотац'!B6</f>
        <v>17328450.764017839</v>
      </c>
      <c r="C14" s="424">
        <f t="shared" si="0"/>
        <v>13862794.882224226</v>
      </c>
      <c r="D14" s="18">
        <f t="shared" si="5"/>
        <v>13862794.882224226</v>
      </c>
      <c r="E14" s="392">
        <v>17221011</v>
      </c>
      <c r="F14" s="392">
        <f t="shared" si="1"/>
        <v>107439.76401783898</v>
      </c>
      <c r="G14" s="393">
        <f>'[2]Расч дот РФФПП'!D11</f>
        <v>13772</v>
      </c>
      <c r="H14" s="392">
        <v>17221011</v>
      </c>
      <c r="I14" s="240">
        <f t="shared" si="2"/>
        <v>107439.76401783898</v>
      </c>
      <c r="J14" s="394">
        <f>'[2]Налоги посел 8'!Q18+'[2]Дотация пос 10'!B15</f>
        <v>21198450.764017839</v>
      </c>
      <c r="K14" s="395">
        <v>4131.5559999999996</v>
      </c>
      <c r="L14" s="396">
        <f t="shared" si="3"/>
        <v>21194319.208017837</v>
      </c>
      <c r="M14" s="397">
        <f t="shared" si="4"/>
        <v>1539.2427217555794</v>
      </c>
      <c r="N14" s="67"/>
      <c r="O14" s="67"/>
      <c r="P14" s="69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</row>
    <row r="15" spans="1:226" s="2" customFormat="1" ht="12.75" x14ac:dyDescent="0.2">
      <c r="A15" s="205" t="s">
        <v>83</v>
      </c>
      <c r="B15" s="424">
        <f>'[1]Полож дотац'!B7</f>
        <v>6403241.2245554477</v>
      </c>
      <c r="C15" s="424">
        <f t="shared" si="0"/>
        <v>5122605.643531438</v>
      </c>
      <c r="D15" s="18">
        <f t="shared" si="5"/>
        <v>5122605.643531438</v>
      </c>
      <c r="E15" s="392">
        <v>6363540</v>
      </c>
      <c r="F15" s="392">
        <f t="shared" si="1"/>
        <v>39701.224555447698</v>
      </c>
      <c r="G15" s="393">
        <f>'[2]Расч дот РФФПП'!D12</f>
        <v>3856</v>
      </c>
      <c r="H15" s="392">
        <v>6363540</v>
      </c>
      <c r="I15" s="240">
        <f t="shared" si="2"/>
        <v>39701.224555447698</v>
      </c>
      <c r="J15" s="394">
        <f>'[2]Налоги посел 8'!Q19+'[2]Дотация пос 10'!B16</f>
        <v>6774241.2245554477</v>
      </c>
      <c r="K15" s="395">
        <v>2655.172</v>
      </c>
      <c r="L15" s="396">
        <f t="shared" si="3"/>
        <v>6771586.0525554474</v>
      </c>
      <c r="M15" s="397">
        <f t="shared" si="4"/>
        <v>1756.8052968245456</v>
      </c>
      <c r="N15" s="67"/>
      <c r="O15" s="67"/>
      <c r="P15" s="69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</row>
    <row r="16" spans="1:226" s="2" customFormat="1" ht="12.75" x14ac:dyDescent="0.2">
      <c r="A16" s="205" t="s">
        <v>84</v>
      </c>
      <c r="B16" s="424">
        <f>'[1]Полож дотац'!B8</f>
        <v>5840551.5411116136</v>
      </c>
      <c r="C16" s="424">
        <f t="shared" si="0"/>
        <v>4672452.78392768</v>
      </c>
      <c r="D16" s="18">
        <f t="shared" si="5"/>
        <v>4672452.78392768</v>
      </c>
      <c r="E16" s="392">
        <v>5804339</v>
      </c>
      <c r="F16" s="392">
        <f t="shared" si="1"/>
        <v>36212.541111613624</v>
      </c>
      <c r="G16" s="393">
        <f>'[2]Расч дот РФФПП'!D13</f>
        <v>3542</v>
      </c>
      <c r="H16" s="392">
        <v>5804339</v>
      </c>
      <c r="I16" s="240">
        <f t="shared" si="2"/>
        <v>36212.541111613624</v>
      </c>
      <c r="J16" s="394">
        <f>'[2]Налоги посел 8'!Q20+'[2]Дотация пос 10'!B17</f>
        <v>6187551.5411116136</v>
      </c>
      <c r="K16" s="395">
        <v>2103.7710000000002</v>
      </c>
      <c r="L16" s="396">
        <f t="shared" si="3"/>
        <v>6185447.7701116139</v>
      </c>
      <c r="M16" s="397">
        <f t="shared" si="4"/>
        <v>1746.9089613527988</v>
      </c>
      <c r="N16" s="67"/>
      <c r="O16" s="67"/>
      <c r="P16" s="69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</row>
    <row r="17" spans="1:226" s="2" customFormat="1" ht="12.75" x14ac:dyDescent="0.2">
      <c r="A17" s="205" t="s">
        <v>85</v>
      </c>
      <c r="B17" s="424">
        <f>'[1]Полож дотац'!B9</f>
        <v>2891881.8760668058</v>
      </c>
      <c r="C17" s="424">
        <f t="shared" si="0"/>
        <v>2313511.2202171609</v>
      </c>
      <c r="D17" s="18">
        <f t="shared" si="5"/>
        <v>2313511.2202171609</v>
      </c>
      <c r="E17" s="392">
        <v>2873952</v>
      </c>
      <c r="F17" s="392">
        <f t="shared" si="1"/>
        <v>17929.876066805795</v>
      </c>
      <c r="G17" s="393">
        <f>'[2]Расч дот РФФПП'!D14</f>
        <v>1254</v>
      </c>
      <c r="H17" s="392">
        <v>2873952</v>
      </c>
      <c r="I17" s="240">
        <f t="shared" si="2"/>
        <v>17929.876066805795</v>
      </c>
      <c r="J17" s="394">
        <f>'[2]Налоги посел 8'!Q21+'[2]Дотация пос 10'!B18</f>
        <v>3032881.8760668058</v>
      </c>
      <c r="K17" s="395">
        <v>1673.3910000000001</v>
      </c>
      <c r="L17" s="396">
        <f t="shared" si="3"/>
        <v>3031208.485066806</v>
      </c>
      <c r="M17" s="397">
        <f t="shared" si="4"/>
        <v>2418.5660893674685</v>
      </c>
      <c r="N17" s="67"/>
      <c r="O17" s="67"/>
      <c r="P17" s="69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</row>
    <row r="18" spans="1:226" s="2" customFormat="1" ht="12.75" x14ac:dyDescent="0.2">
      <c r="A18" s="205" t="s">
        <v>86</v>
      </c>
      <c r="B18" s="424">
        <f>'[1]Полож дотац'!B10</f>
        <v>3673554.2554770755</v>
      </c>
      <c r="C18" s="424">
        <f t="shared" si="0"/>
        <v>2938850.6696828795</v>
      </c>
      <c r="D18" s="18">
        <f t="shared" si="5"/>
        <v>2938850.6696828795</v>
      </c>
      <c r="E18" s="392">
        <v>3650778</v>
      </c>
      <c r="F18" s="392">
        <f t="shared" si="1"/>
        <v>22776.255477075465</v>
      </c>
      <c r="G18" s="393">
        <f>'[2]Расч дот РФФПП'!D15</f>
        <v>2120</v>
      </c>
      <c r="H18" s="392">
        <v>3650778</v>
      </c>
      <c r="I18" s="240">
        <f t="shared" si="2"/>
        <v>22776.255477075465</v>
      </c>
      <c r="J18" s="394">
        <f>'[2]Налоги посел 8'!Q22+'[2]Дотация пос 10'!B19</f>
        <v>3755554.2554770755</v>
      </c>
      <c r="K18" s="395">
        <v>1328.3710000000001</v>
      </c>
      <c r="L18" s="396">
        <f t="shared" si="3"/>
        <v>3754225.8844770757</v>
      </c>
      <c r="M18" s="397">
        <f t="shared" si="4"/>
        <v>1771.487856357111</v>
      </c>
      <c r="N18" s="67"/>
      <c r="O18" s="67"/>
      <c r="P18" s="69"/>
      <c r="Q18" s="67" t="s">
        <v>0</v>
      </c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</row>
    <row r="19" spans="1:226" s="2" customFormat="1" ht="12.75" x14ac:dyDescent="0.2">
      <c r="A19" s="205" t="s">
        <v>87</v>
      </c>
      <c r="B19" s="424">
        <f>'[1]Полож дотац'!B11</f>
        <v>2670487.9669462265</v>
      </c>
      <c r="C19" s="424">
        <f t="shared" si="0"/>
        <v>2136395.6550631556</v>
      </c>
      <c r="D19" s="18">
        <f t="shared" si="5"/>
        <v>2136395.6550631556</v>
      </c>
      <c r="E19" s="392">
        <v>2653930</v>
      </c>
      <c r="F19" s="392">
        <f t="shared" si="1"/>
        <v>16557.966946226545</v>
      </c>
      <c r="G19" s="393">
        <f>'[2]Расч дот РФФПП'!D16</f>
        <v>891</v>
      </c>
      <c r="H19" s="392">
        <v>2653930</v>
      </c>
      <c r="I19" s="240">
        <f t="shared" si="2"/>
        <v>16557.966946226545</v>
      </c>
      <c r="J19" s="394">
        <f>'[2]Налоги посел 8'!Q23+'[2]Дотация пос 10'!B20</f>
        <v>2708487.9669462265</v>
      </c>
      <c r="K19" s="395">
        <v>1383.777</v>
      </c>
      <c r="L19" s="396">
        <f t="shared" si="3"/>
        <v>2707104.1899462268</v>
      </c>
      <c r="M19" s="397">
        <f t="shared" si="4"/>
        <v>3039.8293680653496</v>
      </c>
      <c r="N19" s="67"/>
      <c r="O19" s="67"/>
      <c r="P19" s="69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</row>
    <row r="20" spans="1:226" s="2" customFormat="1" ht="12.75" x14ac:dyDescent="0.2">
      <c r="A20" s="205" t="s">
        <v>88</v>
      </c>
      <c r="B20" s="424">
        <f>'[1]Полож дотац'!B12</f>
        <v>1947004.0148178223</v>
      </c>
      <c r="C20" s="424">
        <f t="shared" si="0"/>
        <v>1557607.0625039716</v>
      </c>
      <c r="D20" s="18">
        <f t="shared" si="5"/>
        <v>1557607.0625039716</v>
      </c>
      <c r="E20" s="392">
        <v>1934932</v>
      </c>
      <c r="F20" s="392">
        <f t="shared" si="1"/>
        <v>12072.014817822259</v>
      </c>
      <c r="G20" s="393">
        <f>'[2]Расч дот РФФПП'!D17</f>
        <v>378</v>
      </c>
      <c r="H20" s="392">
        <v>1934932</v>
      </c>
      <c r="I20" s="240">
        <f t="shared" si="2"/>
        <v>12072.014817822259</v>
      </c>
      <c r="J20" s="394">
        <f>'[2]Налоги посел 8'!Q24+'[2]Дотация пос 10'!B21</f>
        <v>2011704.0148178223</v>
      </c>
      <c r="K20" s="395">
        <v>1215.7950000000001</v>
      </c>
      <c r="L20" s="396">
        <f t="shared" si="3"/>
        <v>2010488.2198178223</v>
      </c>
      <c r="M20" s="397">
        <f t="shared" si="4"/>
        <v>5321.9682931688421</v>
      </c>
      <c r="N20" s="67"/>
      <c r="O20" s="67"/>
      <c r="P20" s="69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</row>
    <row r="21" spans="1:226" s="2" customFormat="1" ht="12.75" x14ac:dyDescent="0.2">
      <c r="A21" s="205" t="s">
        <v>89</v>
      </c>
      <c r="B21" s="424">
        <f>'[1]Полож дотац'!B13</f>
        <v>3894920.6608049241</v>
      </c>
      <c r="C21" s="424">
        <f t="shared" si="0"/>
        <v>3115944.2317483053</v>
      </c>
      <c r="D21" s="18">
        <f t="shared" si="5"/>
        <v>3115944.2317483053</v>
      </c>
      <c r="E21" s="392">
        <v>3870771</v>
      </c>
      <c r="F21" s="392">
        <f t="shared" si="1"/>
        <v>24149.660804924089</v>
      </c>
      <c r="G21" s="393">
        <f>'[2]Расч дот РФФПП'!D18</f>
        <v>2099</v>
      </c>
      <c r="H21" s="392">
        <v>3870771</v>
      </c>
      <c r="I21" s="240">
        <f t="shared" si="2"/>
        <v>24149.660804924089</v>
      </c>
      <c r="J21" s="394">
        <f>'[2]Налоги посел 8'!Q25+'[2]Дотация пос 10'!B22</f>
        <v>4070920.6608049241</v>
      </c>
      <c r="K21" s="395">
        <v>1538.2550000000001</v>
      </c>
      <c r="L21" s="396">
        <f t="shared" si="3"/>
        <v>4069382.4058049242</v>
      </c>
      <c r="M21" s="397">
        <f t="shared" si="4"/>
        <v>1939.4571990495112</v>
      </c>
      <c r="N21" s="67"/>
      <c r="O21" s="67"/>
      <c r="P21" s="69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</row>
    <row r="22" spans="1:226" s="2" customFormat="1" ht="12.75" x14ac:dyDescent="0.2">
      <c r="A22" s="205" t="s">
        <v>90</v>
      </c>
      <c r="B22" s="424">
        <f>'[1]Полож дотац'!B14</f>
        <v>6676103.0280587766</v>
      </c>
      <c r="C22" s="424">
        <f t="shared" si="0"/>
        <v>5340895.6259812815</v>
      </c>
      <c r="D22" s="18">
        <f t="shared" si="5"/>
        <v>5340895.6259812815</v>
      </c>
      <c r="E22" s="392">
        <v>6634710</v>
      </c>
      <c r="F22" s="392">
        <f t="shared" si="1"/>
        <v>41393.028058776632</v>
      </c>
      <c r="G22" s="393">
        <f>'[2]Расч дот РФФПП'!D19</f>
        <v>4403</v>
      </c>
      <c r="H22" s="392">
        <v>6634710</v>
      </c>
      <c r="I22" s="240">
        <f t="shared" si="2"/>
        <v>41393.028058776632</v>
      </c>
      <c r="J22" s="394">
        <f>'[2]Налоги посел 8'!Q26+'[2]Дотация пос 10'!B23</f>
        <v>7137103.0280587766</v>
      </c>
      <c r="K22" s="395">
        <v>1662.684</v>
      </c>
      <c r="L22" s="396">
        <f t="shared" si="3"/>
        <v>7135440.3440587763</v>
      </c>
      <c r="M22" s="397">
        <f t="shared" si="4"/>
        <v>1620.9636675127815</v>
      </c>
      <c r="N22" s="67"/>
      <c r="O22" s="67"/>
      <c r="P22" s="69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</row>
    <row r="23" spans="1:226" s="2" customFormat="1" ht="12.75" x14ac:dyDescent="0.2">
      <c r="A23" s="205" t="s">
        <v>91</v>
      </c>
      <c r="B23" s="424">
        <f>'[1]Полож дотац'!B15</f>
        <v>5586815.8329180544</v>
      </c>
      <c r="C23" s="424">
        <f t="shared" si="0"/>
        <v>4469463.7155519202</v>
      </c>
      <c r="D23" s="18">
        <f t="shared" si="5"/>
        <v>4469463.7155519202</v>
      </c>
      <c r="E23" s="392">
        <v>5552177</v>
      </c>
      <c r="F23" s="392">
        <f t="shared" si="1"/>
        <v>34638.832918054424</v>
      </c>
      <c r="G23" s="393">
        <f>'[2]Расч дот РФФПП'!D20</f>
        <v>3439</v>
      </c>
      <c r="H23" s="392">
        <v>5552177</v>
      </c>
      <c r="I23" s="240">
        <f t="shared" si="2"/>
        <v>34638.832918054424</v>
      </c>
      <c r="J23" s="394">
        <f>'[2]Налоги посел 8'!Q27+'[2]Дотация пос 10'!B24</f>
        <v>5737815.8329180544</v>
      </c>
      <c r="K23" s="395">
        <v>1873.5440000000001</v>
      </c>
      <c r="L23" s="396">
        <f t="shared" si="3"/>
        <v>5735942.2889180547</v>
      </c>
      <c r="M23" s="397">
        <f t="shared" si="4"/>
        <v>1668.4547347828016</v>
      </c>
      <c r="N23" s="67"/>
      <c r="O23" s="67"/>
      <c r="P23" s="69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</row>
    <row r="24" spans="1:226" s="2" customFormat="1" ht="12.75" x14ac:dyDescent="0.2">
      <c r="A24" s="205" t="s">
        <v>92</v>
      </c>
      <c r="B24" s="424">
        <f>'[1]Полож дотац'!B16</f>
        <v>2943907.2467029095</v>
      </c>
      <c r="C24" s="424">
        <f t="shared" si="0"/>
        <v>2355131.6196182193</v>
      </c>
      <c r="D24" s="18">
        <f t="shared" si="5"/>
        <v>2355131.6196182193</v>
      </c>
      <c r="E24" s="392">
        <v>2925654</v>
      </c>
      <c r="F24" s="392">
        <f t="shared" si="1"/>
        <v>18253.24670290947</v>
      </c>
      <c r="G24" s="393">
        <f>'[2]Расч дот РФФПП'!D21</f>
        <v>1257</v>
      </c>
      <c r="H24" s="392">
        <v>2925654</v>
      </c>
      <c r="I24" s="240">
        <f t="shared" si="2"/>
        <v>18253.24670290947</v>
      </c>
      <c r="J24" s="394">
        <f>'[2]Налоги посел 8'!Q28+'[2]Дотация пос 10'!B25</f>
        <v>3078907.2467029095</v>
      </c>
      <c r="K24" s="395">
        <v>1842.653</v>
      </c>
      <c r="L24" s="396">
        <f t="shared" si="3"/>
        <v>3077064.5937029095</v>
      </c>
      <c r="M24" s="397">
        <f t="shared" si="4"/>
        <v>2449.4091063666742</v>
      </c>
      <c r="N24" s="67"/>
      <c r="O24" s="67"/>
      <c r="P24" s="69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</row>
    <row r="25" spans="1:226" s="2" customFormat="1" ht="12.75" x14ac:dyDescent="0.2">
      <c r="A25" s="205" t="s">
        <v>93</v>
      </c>
      <c r="B25" s="424">
        <f>'[1]Полож дотац'!B17</f>
        <v>2290818.1906907125</v>
      </c>
      <c r="C25" s="424">
        <f t="shared" si="0"/>
        <v>1832659.0831741523</v>
      </c>
      <c r="D25" s="18">
        <f t="shared" si="5"/>
        <v>1832659.0831741523</v>
      </c>
      <c r="E25" s="392">
        <v>2276615</v>
      </c>
      <c r="F25" s="392">
        <f t="shared" si="1"/>
        <v>14203.190690712538</v>
      </c>
      <c r="G25" s="393">
        <f>'[2]Расч дот РФФПП'!D22</f>
        <v>790</v>
      </c>
      <c r="H25" s="392">
        <v>2276615</v>
      </c>
      <c r="I25" s="240">
        <f t="shared" si="2"/>
        <v>14203.190690712538</v>
      </c>
      <c r="J25" s="394">
        <f>'[2]Налоги посел 8'!Q29+'[2]Дотация пос 10'!B26</f>
        <v>2403818.1906907125</v>
      </c>
      <c r="K25" s="395">
        <v>1180.05</v>
      </c>
      <c r="L25" s="396">
        <f t="shared" si="3"/>
        <v>2402638.1406907127</v>
      </c>
      <c r="M25" s="397">
        <f t="shared" si="4"/>
        <v>3042.8078363173577</v>
      </c>
      <c r="N25" s="67"/>
      <c r="O25" s="67"/>
      <c r="P25" s="69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</row>
    <row r="26" spans="1:226" s="2" customFormat="1" ht="12.75" x14ac:dyDescent="0.2">
      <c r="A26" s="205" t="s">
        <v>94</v>
      </c>
      <c r="B26" s="424">
        <f>'[1]Полож дотац'!B18</f>
        <v>4828991.2975423485</v>
      </c>
      <c r="C26" s="424">
        <f t="shared" si="0"/>
        <v>3863202.5884784674</v>
      </c>
      <c r="D26" s="18">
        <f t="shared" si="5"/>
        <v>3863202.5884784674</v>
      </c>
      <c r="E26" s="392">
        <v>4799051</v>
      </c>
      <c r="F26" s="392">
        <f t="shared" si="1"/>
        <v>29940.297542348504</v>
      </c>
      <c r="G26" s="393">
        <f>'[2]Расч дот РФФПП'!D23</f>
        <v>3095</v>
      </c>
      <c r="H26" s="392">
        <v>4799051</v>
      </c>
      <c r="I26" s="240">
        <f t="shared" si="2"/>
        <v>29940.297542348504</v>
      </c>
      <c r="J26" s="394">
        <f>'[2]Налоги посел 8'!Q30+'[2]Дотация пос 10'!B27</f>
        <v>5143991.2975423485</v>
      </c>
      <c r="K26" s="395">
        <v>1726.2539999999999</v>
      </c>
      <c r="L26" s="396">
        <f t="shared" si="3"/>
        <v>5142265.0435423488</v>
      </c>
      <c r="M26" s="397">
        <f t="shared" si="4"/>
        <v>1662.0327294159447</v>
      </c>
      <c r="N26" s="67"/>
      <c r="O26" s="67"/>
      <c r="P26" s="69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</row>
    <row r="27" spans="1:226" s="2" customFormat="1" ht="12.75" x14ac:dyDescent="0.2">
      <c r="A27" s="205" t="s">
        <v>95</v>
      </c>
      <c r="B27" s="424">
        <f>'[1]Полож дотац'!B19</f>
        <v>3267077.1775838826</v>
      </c>
      <c r="C27" s="424">
        <f t="shared" si="0"/>
        <v>2613668.2034661081</v>
      </c>
      <c r="D27" s="18">
        <f t="shared" si="5"/>
        <v>2613668.2034661081</v>
      </c>
      <c r="E27" s="392">
        <v>3246821</v>
      </c>
      <c r="F27" s="392">
        <f t="shared" si="1"/>
        <v>20256.177583882585</v>
      </c>
      <c r="G27" s="393">
        <f>'[2]Расч дот РФФПП'!D24</f>
        <v>1476</v>
      </c>
      <c r="H27" s="392">
        <v>3246821</v>
      </c>
      <c r="I27" s="240">
        <f t="shared" si="2"/>
        <v>20256.177583882585</v>
      </c>
      <c r="J27" s="394">
        <f>'[2]Налоги посел 8'!Q31+'[2]Дотация пос 10'!B28</f>
        <v>3358077.1775838826</v>
      </c>
      <c r="K27" s="395">
        <v>1772.8879999999999</v>
      </c>
      <c r="L27" s="396">
        <f t="shared" si="3"/>
        <v>3356304.2895838828</v>
      </c>
      <c r="M27" s="397">
        <f t="shared" si="4"/>
        <v>2275.1200390134704</v>
      </c>
      <c r="N27" s="67"/>
      <c r="O27" s="67"/>
      <c r="P27" s="69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</row>
    <row r="28" spans="1:226" s="2" customFormat="1" ht="12.75" x14ac:dyDescent="0.2">
      <c r="A28" s="205" t="s">
        <v>96</v>
      </c>
      <c r="B28" s="424">
        <f>'[1]Полож дотац'!B20</f>
        <v>2312227.5800418104</v>
      </c>
      <c r="C28" s="424">
        <f t="shared" si="0"/>
        <v>1849786.6369970383</v>
      </c>
      <c r="D28" s="18">
        <f t="shared" si="5"/>
        <v>1849786.6369970383</v>
      </c>
      <c r="E28" s="392">
        <v>2297891</v>
      </c>
      <c r="F28" s="392">
        <f t="shared" si="1"/>
        <v>14336.580041810405</v>
      </c>
      <c r="G28" s="393">
        <f>'[2]Расч дот РФФПП'!D25</f>
        <v>758</v>
      </c>
      <c r="H28" s="392">
        <v>2297891</v>
      </c>
      <c r="I28" s="240">
        <f t="shared" si="2"/>
        <v>14336.580041810405</v>
      </c>
      <c r="J28" s="394">
        <f>'[2]Налоги посел 8'!Q32+'[2]Дотация пос 10'!B29</f>
        <v>2359227.5800418104</v>
      </c>
      <c r="K28" s="395">
        <v>1429.0509999999999</v>
      </c>
      <c r="L28" s="396">
        <f t="shared" si="3"/>
        <v>2357798.5290418104</v>
      </c>
      <c r="M28" s="397">
        <f t="shared" si="4"/>
        <v>3112.4374406884044</v>
      </c>
      <c r="N28" s="67"/>
      <c r="O28" s="67" t="s">
        <v>0</v>
      </c>
      <c r="P28" s="69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</row>
    <row r="29" spans="1:226" s="2" customFormat="1" ht="13.5" thickBot="1" x14ac:dyDescent="0.25">
      <c r="A29" s="425" t="s">
        <v>97</v>
      </c>
      <c r="B29" s="424">
        <f>'[1]Полож дотац'!B21</f>
        <v>2819095.1356890188</v>
      </c>
      <c r="C29" s="424">
        <f t="shared" si="0"/>
        <v>2255281.6839623568</v>
      </c>
      <c r="D29" s="18">
        <f t="shared" si="5"/>
        <v>2255281.6839623568</v>
      </c>
      <c r="E29" s="392">
        <v>2801616</v>
      </c>
      <c r="F29" s="392">
        <f t="shared" si="1"/>
        <v>17479.13568901876</v>
      </c>
      <c r="G29" s="393">
        <f>'[2]Расч дот РФФПП'!D26</f>
        <v>1321</v>
      </c>
      <c r="H29" s="392">
        <v>2801616</v>
      </c>
      <c r="I29" s="240">
        <f t="shared" si="2"/>
        <v>17479.13568901876</v>
      </c>
      <c r="J29" s="394">
        <f>'[2]Налоги посел 8'!Q33+'[2]Дотация пос 10'!B30</f>
        <v>2933095.1356890188</v>
      </c>
      <c r="K29" s="395">
        <v>1561.777</v>
      </c>
      <c r="L29" s="396">
        <f t="shared" si="3"/>
        <v>2931533.358689019</v>
      </c>
      <c r="M29" s="397">
        <f t="shared" si="4"/>
        <v>2220.3596787956235</v>
      </c>
      <c r="N29" s="67"/>
      <c r="O29" s="67"/>
      <c r="P29" s="69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</row>
    <row r="30" spans="1:226" s="2" customFormat="1" ht="15.75" customHeight="1" thickBot="1" x14ac:dyDescent="0.25">
      <c r="A30" s="72" t="s">
        <v>1</v>
      </c>
      <c r="B30" s="426">
        <f>SUM(B10:B29)</f>
        <v>101126000.00000001</v>
      </c>
      <c r="C30" s="426">
        <f t="shared" ref="C30:L30" si="6">SUM(C10:C29)</f>
        <v>80901000</v>
      </c>
      <c r="D30" s="18">
        <f t="shared" si="6"/>
        <v>80901000</v>
      </c>
      <c r="E30" s="398">
        <f t="shared" si="6"/>
        <v>100499000</v>
      </c>
      <c r="F30" s="398">
        <f>SUM(F10:F29)</f>
        <v>627000.00000001537</v>
      </c>
      <c r="G30" s="399">
        <f t="shared" si="6"/>
        <v>60512</v>
      </c>
      <c r="H30" s="394">
        <f t="shared" si="6"/>
        <v>100499000</v>
      </c>
      <c r="I30" s="240">
        <f t="shared" si="6"/>
        <v>627000.00000001537</v>
      </c>
      <c r="J30" s="394">
        <f t="shared" si="6"/>
        <v>108836700.00000001</v>
      </c>
      <c r="K30" s="400">
        <f t="shared" si="6"/>
        <v>40220.585999999996</v>
      </c>
      <c r="L30" s="240">
        <f t="shared" si="6"/>
        <v>108796479.414</v>
      </c>
      <c r="M30" s="401">
        <f t="shared" si="4"/>
        <v>1798.5969725013224</v>
      </c>
    </row>
    <row r="31" spans="1:226" s="2" customFormat="1" ht="12.75" x14ac:dyDescent="0.2">
      <c r="B31" s="71"/>
      <c r="C31" s="71"/>
      <c r="D31" s="71"/>
      <c r="E31" s="71"/>
      <c r="F31" s="71"/>
      <c r="J31" s="238"/>
    </row>
    <row r="32" spans="1:226" s="2" customFormat="1" ht="12.75" x14ac:dyDescent="0.2">
      <c r="A32" s="2" t="s">
        <v>27</v>
      </c>
      <c r="B32" s="71"/>
      <c r="C32" s="71"/>
      <c r="D32" s="71"/>
      <c r="E32" s="71"/>
      <c r="F32" s="71"/>
      <c r="J32" s="238"/>
      <c r="K32" s="2" t="s">
        <v>0</v>
      </c>
    </row>
    <row r="33" spans="1:10" s="2" customFormat="1" ht="12.75" x14ac:dyDescent="0.2">
      <c r="A33" s="2" t="s">
        <v>290</v>
      </c>
      <c r="B33" s="71" t="e">
        <f>'[2]Расч дот РФФПП'!D34</f>
        <v>#REF!</v>
      </c>
      <c r="C33" s="71"/>
      <c r="D33" s="71"/>
      <c r="E33" s="71"/>
      <c r="F33" s="71"/>
      <c r="J33" s="238"/>
    </row>
    <row r="34" spans="1:10" s="2" customFormat="1" ht="12.75" x14ac:dyDescent="0.2">
      <c r="A34" s="2" t="s">
        <v>291</v>
      </c>
      <c r="B34" s="71">
        <f>'[2]Расч дот РФФПП'!D35</f>
        <v>101126000</v>
      </c>
      <c r="C34" s="71">
        <f>'[2]Доходы №3 нов'!F46</f>
        <v>80901000</v>
      </c>
      <c r="D34" s="71">
        <f>'[2]Доходы №3 нов'!G46</f>
        <v>80901000</v>
      </c>
      <c r="E34" s="71"/>
      <c r="F34" s="71"/>
      <c r="J34" s="238"/>
    </row>
    <row r="35" spans="1:10" s="2" customFormat="1" ht="12.75" x14ac:dyDescent="0.2">
      <c r="A35" s="2" t="s">
        <v>292</v>
      </c>
      <c r="B35" s="71">
        <f>'[2]Доходы №3 нов'!E46</f>
        <v>101126000</v>
      </c>
      <c r="C35" s="71"/>
      <c r="D35" s="71"/>
      <c r="E35" s="71"/>
      <c r="F35" s="71"/>
      <c r="J35" s="238"/>
    </row>
    <row r="36" spans="1:10" s="2" customFormat="1" ht="12.75" x14ac:dyDescent="0.2">
      <c r="B36" s="241"/>
      <c r="C36" s="241"/>
      <c r="D36" s="241"/>
      <c r="E36" s="241"/>
      <c r="F36" s="241"/>
      <c r="J36" s="238"/>
    </row>
  </sheetData>
  <mergeCells count="20">
    <mergeCell ref="B8:B9"/>
    <mergeCell ref="C8:C9"/>
    <mergeCell ref="D8:D9"/>
    <mergeCell ref="A6:D6"/>
    <mergeCell ref="A7:A9"/>
    <mergeCell ref="B7:D7"/>
    <mergeCell ref="A4:D4"/>
    <mergeCell ref="B5:D5"/>
    <mergeCell ref="B1:D1"/>
    <mergeCell ref="B2:D2"/>
    <mergeCell ref="B3:D3"/>
    <mergeCell ref="J7:J8"/>
    <mergeCell ref="K7:K8"/>
    <mergeCell ref="L7:L8"/>
    <mergeCell ref="M7:M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37"/>
  <sheetViews>
    <sheetView zoomScaleNormal="100" workbookViewId="0">
      <selection activeCell="F3" sqref="F3:I3"/>
    </sheetView>
  </sheetViews>
  <sheetFormatPr defaultRowHeight="15" x14ac:dyDescent="0.25"/>
  <cols>
    <col min="1" max="1" width="25.42578125" customWidth="1"/>
    <col min="2" max="2" width="9.7109375" customWidth="1"/>
    <col min="3" max="3" width="7.140625" customWidth="1"/>
    <col min="4" max="4" width="9.42578125" customWidth="1"/>
    <col min="5" max="5" width="7" customWidth="1"/>
    <col min="6" max="6" width="9" customWidth="1"/>
    <col min="7" max="7" width="11.5703125" customWidth="1"/>
    <col min="12" max="12" width="3.85546875" customWidth="1"/>
  </cols>
  <sheetData>
    <row r="1" spans="1:227" x14ac:dyDescent="0.25">
      <c r="A1" s="382"/>
      <c r="B1" s="435"/>
      <c r="C1" s="435"/>
      <c r="D1" s="435"/>
      <c r="E1" s="435"/>
      <c r="F1" s="540" t="s">
        <v>597</v>
      </c>
      <c r="G1" s="540"/>
      <c r="H1" s="540"/>
      <c r="I1" s="540"/>
    </row>
    <row r="2" spans="1:227" x14ac:dyDescent="0.25">
      <c r="A2" s="382"/>
      <c r="B2" s="435"/>
      <c r="C2" s="435"/>
      <c r="D2" s="435"/>
      <c r="E2" s="435"/>
      <c r="F2" s="540" t="s">
        <v>571</v>
      </c>
      <c r="G2" s="540"/>
      <c r="H2" s="540"/>
      <c r="I2" s="540"/>
    </row>
    <row r="3" spans="1:227" x14ac:dyDescent="0.25">
      <c r="A3" s="435"/>
      <c r="B3" s="435"/>
      <c r="C3" s="435"/>
      <c r="D3" s="435"/>
      <c r="E3" s="435"/>
      <c r="F3" s="540" t="s">
        <v>623</v>
      </c>
      <c r="G3" s="540"/>
      <c r="H3" s="540"/>
      <c r="I3" s="540"/>
    </row>
    <row r="4" spans="1:227" x14ac:dyDescent="0.25">
      <c r="A4" s="436"/>
      <c r="B4" s="554"/>
      <c r="C4" s="554"/>
      <c r="D4" s="554"/>
      <c r="E4" s="554"/>
      <c r="F4" s="554"/>
      <c r="G4" s="554"/>
      <c r="H4" s="554"/>
      <c r="I4" s="554"/>
    </row>
    <row r="5" spans="1:227" ht="44.65" customHeight="1" x14ac:dyDescent="0.25">
      <c r="A5" s="555" t="s">
        <v>598</v>
      </c>
      <c r="B5" s="555"/>
      <c r="C5" s="555"/>
      <c r="D5" s="555"/>
      <c r="E5" s="555"/>
      <c r="F5" s="555"/>
      <c r="G5" s="555"/>
      <c r="H5" s="555"/>
      <c r="I5" s="555"/>
      <c r="J5" s="83"/>
      <c r="K5" s="83"/>
      <c r="L5" s="83"/>
      <c r="N5" s="83"/>
    </row>
    <row r="6" spans="1:227" ht="14.25" customHeight="1" x14ac:dyDescent="0.25">
      <c r="A6" s="427"/>
      <c r="B6" s="427"/>
      <c r="C6" s="427"/>
      <c r="D6" s="427"/>
      <c r="E6" s="427"/>
      <c r="F6" s="427"/>
      <c r="G6" s="427"/>
      <c r="H6" s="551" t="s">
        <v>293</v>
      </c>
      <c r="I6" s="551"/>
      <c r="J6" s="83"/>
      <c r="K6" s="83"/>
      <c r="L6" s="83"/>
      <c r="N6" s="83"/>
    </row>
    <row r="7" spans="1:227" ht="13.7" customHeight="1" x14ac:dyDescent="0.25">
      <c r="A7" s="318"/>
      <c r="B7" s="552" t="s">
        <v>110</v>
      </c>
      <c r="C7" s="552"/>
      <c r="D7" s="552"/>
      <c r="E7" s="552"/>
      <c r="F7" s="552"/>
      <c r="G7" s="552"/>
      <c r="H7" s="552"/>
      <c r="I7" s="552"/>
      <c r="J7" s="83"/>
      <c r="K7" s="83"/>
      <c r="L7" s="83"/>
      <c r="N7" s="83"/>
    </row>
    <row r="8" spans="1:227" ht="17.850000000000001" customHeight="1" x14ac:dyDescent="0.25">
      <c r="A8" s="549" t="s">
        <v>104</v>
      </c>
      <c r="B8" s="542" t="s">
        <v>180</v>
      </c>
      <c r="C8" s="553"/>
      <c r="D8" s="553"/>
      <c r="E8" s="553"/>
      <c r="F8" s="553"/>
      <c r="G8" s="553"/>
      <c r="H8" s="550" t="s">
        <v>220</v>
      </c>
      <c r="I8" s="550" t="s">
        <v>255</v>
      </c>
      <c r="J8" s="83"/>
      <c r="K8" s="83"/>
      <c r="L8" s="83"/>
      <c r="M8" s="83"/>
      <c r="O8" s="83"/>
    </row>
    <row r="9" spans="1:227" ht="94.7" customHeight="1" x14ac:dyDescent="0.25">
      <c r="A9" s="549"/>
      <c r="B9" s="542"/>
      <c r="C9" s="431" t="s">
        <v>294</v>
      </c>
      <c r="D9" s="432" t="s">
        <v>295</v>
      </c>
      <c r="E9" s="431" t="s">
        <v>296</v>
      </c>
      <c r="F9" s="316" t="s">
        <v>297</v>
      </c>
      <c r="G9" s="431" t="s">
        <v>298</v>
      </c>
      <c r="H9" s="550"/>
      <c r="I9" s="550"/>
      <c r="J9" s="83" t="s">
        <v>0</v>
      </c>
      <c r="K9" s="83">
        <v>2022</v>
      </c>
      <c r="L9" s="83"/>
      <c r="M9" s="83"/>
      <c r="N9" s="84"/>
      <c r="O9" s="8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</row>
    <row r="10" spans="1:227" ht="9.75" customHeight="1" x14ac:dyDescent="0.25">
      <c r="A10" s="428" t="s">
        <v>48</v>
      </c>
      <c r="B10" s="428" t="s">
        <v>36</v>
      </c>
      <c r="C10" s="428" t="s">
        <v>50</v>
      </c>
      <c r="D10" s="434" t="s">
        <v>106</v>
      </c>
      <c r="E10" s="428" t="s">
        <v>111</v>
      </c>
      <c r="F10" s="434" t="s">
        <v>112</v>
      </c>
      <c r="G10" s="428" t="s">
        <v>113</v>
      </c>
      <c r="H10" s="428" t="s">
        <v>43</v>
      </c>
      <c r="I10" s="428" t="s">
        <v>38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</row>
    <row r="11" spans="1:227" x14ac:dyDescent="0.25">
      <c r="A11" s="85" t="s">
        <v>78</v>
      </c>
      <c r="B11" s="86">
        <f t="shared" ref="B11:B30" si="0">SUM(C11:G11)</f>
        <v>586329.32862644421</v>
      </c>
      <c r="C11" s="9">
        <v>5311</v>
      </c>
      <c r="D11" s="433">
        <f>'[1]Расч дот РФФПП'!V7*22%</f>
        <v>128992.29781771502</v>
      </c>
      <c r="E11" s="9">
        <f>'[1]Расч дот РФФПП'!V7*1%</f>
        <v>5863.2862644415918</v>
      </c>
      <c r="F11" s="433">
        <f>'[1]Расч дот РФФПП'!V7*55%+K11</f>
        <v>328343.74454428756</v>
      </c>
      <c r="G11" s="9">
        <v>117819</v>
      </c>
      <c r="H11" s="429">
        <f t="shared" ref="H11:H30" si="1">B11</f>
        <v>586329.32862644421</v>
      </c>
      <c r="I11" s="430">
        <f t="shared" ref="I11:I30" si="2">B11</f>
        <v>586329.32862644421</v>
      </c>
      <c r="J11" s="4"/>
      <c r="K11" s="4">
        <v>5863</v>
      </c>
      <c r="L11" s="4"/>
      <c r="M11" s="4"/>
      <c r="N11" s="4"/>
      <c r="O11" s="4"/>
      <c r="P11" s="4"/>
      <c r="Q11" s="8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</row>
    <row r="12" spans="1:227" x14ac:dyDescent="0.25">
      <c r="A12" s="88" t="s">
        <v>79</v>
      </c>
      <c r="B12" s="86">
        <f t="shared" si="0"/>
        <v>1312258.7137355583</v>
      </c>
      <c r="C12" s="17">
        <v>0</v>
      </c>
      <c r="D12" s="9">
        <f>'[1]Расч дот РФФПП'!V8*22%</f>
        <v>288697.04749679076</v>
      </c>
      <c r="E12" s="9">
        <f>'[1]Расч дот РФФПП'!V8*1%</f>
        <v>13122.593068035943</v>
      </c>
      <c r="F12" s="9">
        <f>'[1]Расч дот РФФПП'!V8*55%+K12</f>
        <v>734865.61874197691</v>
      </c>
      <c r="G12" s="9">
        <f>'[1]Расч дот РФФПП'!V8*21%-1</f>
        <v>275573.45442875481</v>
      </c>
      <c r="H12" s="429">
        <f t="shared" si="1"/>
        <v>1312258.7137355583</v>
      </c>
      <c r="I12" s="429">
        <f t="shared" si="2"/>
        <v>1312258.7137355583</v>
      </c>
      <c r="J12" s="4"/>
      <c r="K12" s="4">
        <v>13123</v>
      </c>
      <c r="L12" s="4"/>
      <c r="M12" s="4"/>
      <c r="N12" s="4"/>
      <c r="O12" s="4"/>
      <c r="P12" s="4"/>
      <c r="Q12" s="8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</row>
    <row r="13" spans="1:227" x14ac:dyDescent="0.25">
      <c r="A13" s="88" t="s">
        <v>80</v>
      </c>
      <c r="B13" s="86">
        <f t="shared" si="0"/>
        <v>1036520.9691912709</v>
      </c>
      <c r="C13" s="17">
        <v>0</v>
      </c>
      <c r="D13" s="9">
        <f>'[1]Расч дот РФФПП'!V9*22%</f>
        <v>228034.65982028242</v>
      </c>
      <c r="E13" s="9">
        <f>'[1]Расч дот РФФПП'!V9*1%</f>
        <v>10365.211810012837</v>
      </c>
      <c r="F13" s="9">
        <f>'[1]Расч дот РФФПП'!V9*55%+K13</f>
        <v>580451.64955070603</v>
      </c>
      <c r="G13" s="9">
        <f>'[1]Расч дот РФФПП'!V9*21%</f>
        <v>217669.44801026958</v>
      </c>
      <c r="H13" s="429">
        <f t="shared" si="1"/>
        <v>1036520.9691912709</v>
      </c>
      <c r="I13" s="429">
        <f t="shared" si="2"/>
        <v>1036520.9691912709</v>
      </c>
      <c r="J13" s="4"/>
      <c r="K13" s="4">
        <v>10365</v>
      </c>
      <c r="L13" s="4"/>
      <c r="M13" s="4"/>
      <c r="N13" s="4"/>
      <c r="O13" s="4"/>
      <c r="P13" s="4"/>
      <c r="Q13" s="8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</row>
    <row r="14" spans="1:227" x14ac:dyDescent="0.25">
      <c r="A14" s="88" t="s">
        <v>81</v>
      </c>
      <c r="B14" s="86">
        <f t="shared" si="0"/>
        <v>157509.62772785625</v>
      </c>
      <c r="C14" s="17">
        <f>'[1]Расч дот РФФПП'!V10*1%</f>
        <v>1575.0962772785624</v>
      </c>
      <c r="D14" s="9">
        <f>'[1]Расч дот РФФПП'!V10*22%</f>
        <v>34652.118100128377</v>
      </c>
      <c r="E14" s="9">
        <f>'[1]Расч дот РФФПП'!V10*1%</f>
        <v>1575.0962772785624</v>
      </c>
      <c r="F14" s="9">
        <f>'[1]Расч дот РФФПП'!V10*55%+K14</f>
        <v>88205.295250320938</v>
      </c>
      <c r="G14" s="9">
        <f>'[1]Расч дот РФФПП'!V10*21%-1575</f>
        <v>31502.021822849812</v>
      </c>
      <c r="H14" s="429">
        <f t="shared" si="1"/>
        <v>157509.62772785625</v>
      </c>
      <c r="I14" s="429">
        <f t="shared" si="2"/>
        <v>157509.62772785625</v>
      </c>
      <c r="J14" s="243"/>
      <c r="K14" s="4">
        <v>1575</v>
      </c>
      <c r="L14" s="4"/>
      <c r="M14" s="4"/>
      <c r="N14" s="4"/>
      <c r="O14" s="4"/>
      <c r="P14" s="4"/>
      <c r="Q14" s="8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</row>
    <row r="15" spans="1:227" x14ac:dyDescent="0.25">
      <c r="A15" s="88" t="s">
        <v>114</v>
      </c>
      <c r="B15" s="86">
        <f t="shared" si="0"/>
        <v>0</v>
      </c>
      <c r="C15" s="17">
        <v>0</v>
      </c>
      <c r="D15" s="9">
        <f>'[1]Расч дот РФФПП'!V11*22%</f>
        <v>0</v>
      </c>
      <c r="E15" s="9">
        <v>0</v>
      </c>
      <c r="F15" s="9">
        <f>'[2]Расч дот РФФПП'!V11*55%+K15</f>
        <v>0</v>
      </c>
      <c r="G15" s="9">
        <f>'[2]Расч дот РФФПП'!V11*20%</f>
        <v>0</v>
      </c>
      <c r="H15" s="429">
        <f t="shared" si="1"/>
        <v>0</v>
      </c>
      <c r="I15" s="429">
        <f t="shared" si="2"/>
        <v>0</v>
      </c>
      <c r="J15" s="244"/>
      <c r="K15" s="4">
        <v>0</v>
      </c>
      <c r="L15" s="4"/>
      <c r="M15" s="4"/>
      <c r="N15" s="4"/>
      <c r="O15" s="4"/>
      <c r="P15" s="4"/>
      <c r="Q15" s="8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</row>
    <row r="16" spans="1:227" x14ac:dyDescent="0.25">
      <c r="A16" s="88" t="s">
        <v>83</v>
      </c>
      <c r="B16" s="86">
        <f t="shared" si="0"/>
        <v>742490.46854942245</v>
      </c>
      <c r="C16" s="17">
        <f>'[1]Расч дот РФФПП'!V12*1%</f>
        <v>7424.9037227214385</v>
      </c>
      <c r="D16" s="9">
        <f>'[1]Расч дот РФФПП'!V12*22%</f>
        <v>163347.88189987166</v>
      </c>
      <c r="E16" s="9">
        <f>'[1]Расч дот РФФПП'!V12*1%</f>
        <v>7424.9037227214385</v>
      </c>
      <c r="F16" s="9">
        <f>'[1]Расч дот РФФПП'!V12*55%+K16</f>
        <v>415794.70474967913</v>
      </c>
      <c r="G16" s="9">
        <f>'[1]Расч дот РФФПП'!V12*20%</f>
        <v>148498.07445442877</v>
      </c>
      <c r="H16" s="429">
        <f t="shared" si="1"/>
        <v>742490.46854942245</v>
      </c>
      <c r="I16" s="429">
        <f t="shared" si="2"/>
        <v>742490.46854942245</v>
      </c>
      <c r="J16" s="243"/>
      <c r="K16" s="4">
        <v>7425</v>
      </c>
      <c r="L16" s="4"/>
      <c r="M16" s="4"/>
      <c r="N16" s="4"/>
      <c r="O16" s="4"/>
      <c r="P16" s="4"/>
      <c r="Q16" s="8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</row>
    <row r="17" spans="1:227" x14ac:dyDescent="0.25">
      <c r="A17" s="88" t="s">
        <v>84</v>
      </c>
      <c r="B17" s="86">
        <f t="shared" si="0"/>
        <v>682027.95892169466</v>
      </c>
      <c r="C17" s="17">
        <f>'[1]Расч дот РФФПП'!V13*1%</f>
        <v>6820.28241335045</v>
      </c>
      <c r="D17" s="9">
        <f>'[1]Расч дот РФФПП'!V13*22%</f>
        <v>150046.2130937099</v>
      </c>
      <c r="E17" s="9">
        <f>'[1]Расч дот РФФПП'!V13*1%</f>
        <v>6820.28241335045</v>
      </c>
      <c r="F17" s="9">
        <f>'[1]Расч дот РФФПП'!V13*55%+K17</f>
        <v>381935.53273427475</v>
      </c>
      <c r="G17" s="9">
        <f>'[1]Расч дот РФФПП'!V13*20%</f>
        <v>136405.648267009</v>
      </c>
      <c r="H17" s="429">
        <f t="shared" si="1"/>
        <v>682027.95892169466</v>
      </c>
      <c r="I17" s="429">
        <f t="shared" si="2"/>
        <v>682027.95892169466</v>
      </c>
      <c r="J17" s="243"/>
      <c r="K17" s="4">
        <v>6820</v>
      </c>
      <c r="L17" s="4" t="s">
        <v>13</v>
      </c>
      <c r="M17" s="4" t="s">
        <v>0</v>
      </c>
      <c r="N17" s="4"/>
      <c r="O17" s="4"/>
      <c r="P17" s="4"/>
      <c r="Q17" s="8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</row>
    <row r="18" spans="1:227" x14ac:dyDescent="0.25">
      <c r="A18" s="88" t="s">
        <v>85</v>
      </c>
      <c r="B18" s="86">
        <f t="shared" si="0"/>
        <v>241462.78048780488</v>
      </c>
      <c r="C18" s="17">
        <f>'[1]Расч дот РФФПП'!V14*1%</f>
        <v>2414.6341463414637</v>
      </c>
      <c r="D18" s="9">
        <f>'[1]Расч дот РФФПП'!V14*22%</f>
        <v>53121.951219512201</v>
      </c>
      <c r="E18" s="9">
        <f>'[1]Расч дот РФФПП'!V14*1%</f>
        <v>2414.6341463414637</v>
      </c>
      <c r="F18" s="9">
        <f>'[1]Расч дот РФФПП'!V14*55%+K18</f>
        <v>135219.87804878049</v>
      </c>
      <c r="G18" s="9">
        <f>'[1]Расч дот РФФПП'!V14*20%-1</f>
        <v>48291.682926829271</v>
      </c>
      <c r="H18" s="429">
        <f t="shared" si="1"/>
        <v>241462.78048780488</v>
      </c>
      <c r="I18" s="429">
        <f t="shared" si="2"/>
        <v>241462.78048780488</v>
      </c>
      <c r="J18" s="243"/>
      <c r="K18" s="4">
        <v>2415</v>
      </c>
      <c r="L18" s="4"/>
      <c r="M18" s="4"/>
      <c r="N18" s="4"/>
      <c r="O18" s="4"/>
      <c r="P18" s="4"/>
      <c r="Q18" s="8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</row>
    <row r="19" spans="1:227" x14ac:dyDescent="0.25">
      <c r="A19" s="88" t="s">
        <v>86</v>
      </c>
      <c r="B19" s="86">
        <f t="shared" si="0"/>
        <v>408215.50449293974</v>
      </c>
      <c r="C19" s="17">
        <f>'[1]Расч дот РФФПП'!V15*1%</f>
        <v>4082.1566110397953</v>
      </c>
      <c r="D19" s="9">
        <f>'[1]Расч дот РФФПП'!V15*22%</f>
        <v>89807.445442875498</v>
      </c>
      <c r="E19" s="9">
        <f>'[1]Расч дот РФФПП'!V15*1%</f>
        <v>4082.1566110397953</v>
      </c>
      <c r="F19" s="9">
        <f>'[1]Расч дот РФФПП'!V15*55%+K19</f>
        <v>228600.61360718874</v>
      </c>
      <c r="G19" s="9">
        <f>'[1]Расч дот РФФПП'!V15*20%</f>
        <v>81643.132220795902</v>
      </c>
      <c r="H19" s="429">
        <f t="shared" si="1"/>
        <v>408215.50449293974</v>
      </c>
      <c r="I19" s="429">
        <f t="shared" si="2"/>
        <v>408215.50449293974</v>
      </c>
      <c r="J19" s="243"/>
      <c r="K19" s="4">
        <v>4082</v>
      </c>
      <c r="L19" s="4"/>
      <c r="M19" s="4"/>
      <c r="N19" s="4"/>
      <c r="O19" s="4"/>
      <c r="P19" s="4"/>
      <c r="Q19" s="87"/>
      <c r="R19" s="7" t="s">
        <v>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</row>
    <row r="20" spans="1:227" x14ac:dyDescent="0.25">
      <c r="A20" s="88" t="s">
        <v>87</v>
      </c>
      <c r="B20" s="86">
        <f t="shared" si="0"/>
        <v>171566.44929396664</v>
      </c>
      <c r="C20" s="17">
        <f>'[1]Расч дот РФФПП'!V16*1%</f>
        <v>1715.6611039794609</v>
      </c>
      <c r="D20" s="9">
        <f>'[1]Расч дот РФФПП'!V16*22%</f>
        <v>37744.544287548139</v>
      </c>
      <c r="E20" s="9">
        <f>'[1]Расч дот РФФПП'!V16*1%</f>
        <v>1715.6611039794609</v>
      </c>
      <c r="F20" s="9">
        <f>'[1]Расч дот РФФПП'!V16*55%+K20</f>
        <v>96077.360718870361</v>
      </c>
      <c r="G20" s="9">
        <f>'[1]Расч дот РФФПП'!V16*20%</f>
        <v>34313.222079589221</v>
      </c>
      <c r="H20" s="429">
        <f t="shared" si="1"/>
        <v>171566.44929396664</v>
      </c>
      <c r="I20" s="429">
        <f t="shared" si="2"/>
        <v>171566.44929396664</v>
      </c>
      <c r="J20" s="243"/>
      <c r="K20" s="4">
        <v>1716</v>
      </c>
      <c r="L20" s="4"/>
      <c r="M20" s="4"/>
      <c r="N20" s="4"/>
      <c r="O20" s="4"/>
      <c r="P20" s="4"/>
      <c r="Q20" s="8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</row>
    <row r="21" spans="1:227" x14ac:dyDescent="0.25">
      <c r="A21" s="88" t="s">
        <v>88</v>
      </c>
      <c r="B21" s="86">
        <f t="shared" si="0"/>
        <v>72785.766367137359</v>
      </c>
      <c r="C21" s="17">
        <f>'[1]Расч дот РФФПП'!V17*1%</f>
        <v>727.85622593068035</v>
      </c>
      <c r="D21" s="9">
        <f>'[1]Расч дот РФФПП'!V17*22%</f>
        <v>16012.836970474968</v>
      </c>
      <c r="E21" s="9">
        <f>'[1]Расч дот РФФПП'!V17*1%</f>
        <v>727.85622593068035</v>
      </c>
      <c r="F21" s="9">
        <f>'[1]Расч дот РФФПП'!V17*55%+K21</f>
        <v>40760.092426187424</v>
      </c>
      <c r="G21" s="9">
        <f>'[1]Расч дот РФФПП'!V17*20%</f>
        <v>14557.124518613608</v>
      </c>
      <c r="H21" s="429">
        <f t="shared" si="1"/>
        <v>72785.766367137359</v>
      </c>
      <c r="I21" s="429">
        <f t="shared" si="2"/>
        <v>72785.766367137359</v>
      </c>
      <c r="J21" s="243"/>
      <c r="K21" s="4">
        <v>728</v>
      </c>
      <c r="L21" s="4"/>
      <c r="M21" s="4"/>
      <c r="N21" s="4"/>
      <c r="O21" s="4"/>
      <c r="P21" s="4"/>
      <c r="Q21" s="8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</row>
    <row r="22" spans="1:227" x14ac:dyDescent="0.25">
      <c r="A22" s="88" t="s">
        <v>89</v>
      </c>
      <c r="B22" s="86">
        <f t="shared" si="0"/>
        <v>404172.29525032104</v>
      </c>
      <c r="C22" s="17">
        <f>'[1]Расч дот РФФПП'!V18*1%</f>
        <v>4041.7201540436463</v>
      </c>
      <c r="D22" s="9">
        <f>'[1]Расч дот РФФПП'!V18*22%</f>
        <v>88917.843388960217</v>
      </c>
      <c r="E22" s="9">
        <f>'[1]Расч дот РФФПП'!V18*1%</f>
        <v>4041.7201540436463</v>
      </c>
      <c r="F22" s="9">
        <f>'[1]Расч дот РФФПП'!V18*55%+K22</f>
        <v>226336.60847240055</v>
      </c>
      <c r="G22" s="9">
        <f>'[1]Расч дот РФФПП'!V18*20%</f>
        <v>80834.403080872929</v>
      </c>
      <c r="H22" s="429">
        <f t="shared" si="1"/>
        <v>404172.29525032104</v>
      </c>
      <c r="I22" s="429">
        <f t="shared" si="2"/>
        <v>404172.29525032104</v>
      </c>
      <c r="J22" s="243"/>
      <c r="K22" s="4">
        <v>4042</v>
      </c>
      <c r="L22" s="4"/>
      <c r="M22" s="4"/>
      <c r="N22" s="4"/>
      <c r="O22" s="4"/>
      <c r="P22" s="4"/>
      <c r="Q22" s="8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</row>
    <row r="23" spans="1:227" x14ac:dyDescent="0.25">
      <c r="A23" s="88" t="s">
        <v>90</v>
      </c>
      <c r="B23" s="86">
        <f t="shared" si="0"/>
        <v>847817.53786906297</v>
      </c>
      <c r="C23" s="17">
        <f>'[1]Расч дот РФФПП'!V19*1%</f>
        <v>8478.1771501925559</v>
      </c>
      <c r="D23" s="9">
        <f>'[1]Расч дот РФФПП'!V19*22%</f>
        <v>186519.89730423622</v>
      </c>
      <c r="E23" s="9">
        <f>'[1]Расч дот РФФПП'!V19*1%</f>
        <v>8478.1771501925559</v>
      </c>
      <c r="F23" s="9">
        <f>'[1]Расч дот РФФПП'!V19*55%+K23</f>
        <v>474777.74326059059</v>
      </c>
      <c r="G23" s="9">
        <f>'[1]Расч дот РФФПП'!V19*20%</f>
        <v>169563.54300385111</v>
      </c>
      <c r="H23" s="429">
        <f t="shared" si="1"/>
        <v>847817.53786906297</v>
      </c>
      <c r="I23" s="429">
        <f t="shared" si="2"/>
        <v>847817.53786906297</v>
      </c>
      <c r="J23" s="244"/>
      <c r="K23" s="4">
        <v>8478</v>
      </c>
      <c r="L23" s="4"/>
      <c r="M23" s="4"/>
      <c r="N23" s="4"/>
      <c r="O23" s="4"/>
      <c r="P23" s="4"/>
      <c r="Q23" s="8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</row>
    <row r="24" spans="1:227" x14ac:dyDescent="0.25">
      <c r="A24" s="88" t="s">
        <v>91</v>
      </c>
      <c r="B24" s="86">
        <f t="shared" si="0"/>
        <v>662195.17073170736</v>
      </c>
      <c r="C24" s="17">
        <f>'[1]Расч дот РФФПП'!V20*1%</f>
        <v>6621.9512195121952</v>
      </c>
      <c r="D24" s="9">
        <f>'[1]Расч дот РФФПП'!V20*22%</f>
        <v>145682.92682926828</v>
      </c>
      <c r="E24" s="9">
        <f>'[1]Расч дот РФФПП'!V20*1%</f>
        <v>6621.9512195121952</v>
      </c>
      <c r="F24" s="9">
        <f>'[1]Расч дот РФФПП'!V20*55%+K24</f>
        <v>370829.31707317074</v>
      </c>
      <c r="G24" s="9">
        <f>'[1]Расч дот РФФПП'!V20*20%</f>
        <v>132439.0243902439</v>
      </c>
      <c r="H24" s="429">
        <f t="shared" si="1"/>
        <v>662195.17073170736</v>
      </c>
      <c r="I24" s="429">
        <f t="shared" si="2"/>
        <v>662195.17073170736</v>
      </c>
      <c r="J24" s="243"/>
      <c r="K24" s="4">
        <v>6622</v>
      </c>
      <c r="L24" s="4"/>
      <c r="M24" s="4"/>
      <c r="N24" s="4"/>
      <c r="O24" s="4"/>
      <c r="P24" s="4"/>
      <c r="Q24" s="8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</row>
    <row r="25" spans="1:227" x14ac:dyDescent="0.25">
      <c r="A25" s="88" t="s">
        <v>92</v>
      </c>
      <c r="B25" s="86">
        <f t="shared" si="0"/>
        <v>242040.66752246473</v>
      </c>
      <c r="C25" s="17">
        <f>'[1]Расч дот РФФПП'!V21*1%</f>
        <v>2420.4107830551993</v>
      </c>
      <c r="D25" s="9">
        <f>'[1]Расч дот РФФПП'!V21*22%</f>
        <v>53249.03722721438</v>
      </c>
      <c r="E25" s="9">
        <f>'[1]Расч дот РФФПП'!V21*1%</f>
        <v>2420.4107830551993</v>
      </c>
      <c r="F25" s="9">
        <f>'[1]Расч дот РФФПП'!V21*55%+K25</f>
        <v>135542.59306803596</v>
      </c>
      <c r="G25" s="9">
        <f>'[1]Расч дот РФФПП'!V21*20%</f>
        <v>48408.215661103983</v>
      </c>
      <c r="H25" s="429">
        <f t="shared" si="1"/>
        <v>242040.66752246473</v>
      </c>
      <c r="I25" s="429">
        <f t="shared" si="2"/>
        <v>242040.66752246473</v>
      </c>
      <c r="J25" s="243"/>
      <c r="K25" s="4">
        <v>2420</v>
      </c>
      <c r="L25" s="4"/>
      <c r="M25" s="4"/>
      <c r="N25" s="4"/>
      <c r="O25" s="4"/>
      <c r="P25" s="4"/>
      <c r="Q25" s="8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</row>
    <row r="26" spans="1:227" x14ac:dyDescent="0.25">
      <c r="A26" s="88" t="s">
        <v>93</v>
      </c>
      <c r="B26" s="86">
        <f t="shared" si="0"/>
        <v>152117.91912708603</v>
      </c>
      <c r="C26" s="17">
        <f>'[1]Расч дот РФФПП'!V22*1%</f>
        <v>1521.1810012836972</v>
      </c>
      <c r="D26" s="9">
        <f>'[1]Расч дот РФФПП'!V22*22%</f>
        <v>33465.982028241342</v>
      </c>
      <c r="E26" s="9">
        <f>'[1]Расч дот РФФПП'!V22*1%</f>
        <v>1521.1810012836972</v>
      </c>
      <c r="F26" s="9">
        <f>'[1]Расч дот РФФПП'!V22*55%+K26</f>
        <v>85185.955070603362</v>
      </c>
      <c r="G26" s="9">
        <f>'[1]Расч дот РФФПП'!V22*20%</f>
        <v>30423.620025673947</v>
      </c>
      <c r="H26" s="429">
        <f t="shared" si="1"/>
        <v>152117.91912708603</v>
      </c>
      <c r="I26" s="429">
        <f t="shared" si="2"/>
        <v>152117.91912708603</v>
      </c>
      <c r="J26" s="243"/>
      <c r="K26" s="4">
        <v>1521</v>
      </c>
      <c r="L26" s="4"/>
      <c r="M26" s="4"/>
      <c r="N26" s="4"/>
      <c r="O26" s="4"/>
      <c r="P26" s="4"/>
      <c r="Q26" s="8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</row>
    <row r="27" spans="1:227" x14ac:dyDescent="0.25">
      <c r="A27" s="88" t="s">
        <v>94</v>
      </c>
      <c r="B27" s="86">
        <f t="shared" si="0"/>
        <v>595956.22721437737</v>
      </c>
      <c r="C27" s="17">
        <v>0</v>
      </c>
      <c r="D27" s="9">
        <f>'[1]Расч дот РФФПП'!V23*22%</f>
        <v>131110.39794608473</v>
      </c>
      <c r="E27" s="9">
        <f>'[1]Расч дот РФФПП'!V23*1%</f>
        <v>5959.563543003851</v>
      </c>
      <c r="F27" s="9">
        <f>'[1]Расч дот РФФПП'!V23*55%+K27</f>
        <v>333735.99486521183</v>
      </c>
      <c r="G27" s="9">
        <f>'[1]Расч дот РФФПП'!V23*20%+5959</f>
        <v>125150.27086007703</v>
      </c>
      <c r="H27" s="429">
        <f t="shared" si="1"/>
        <v>595956.22721437737</v>
      </c>
      <c r="I27" s="429">
        <f t="shared" si="2"/>
        <v>595956.22721437737</v>
      </c>
      <c r="J27" s="243"/>
      <c r="K27" s="4">
        <v>5960</v>
      </c>
      <c r="L27" s="4"/>
      <c r="M27" s="4"/>
      <c r="N27" s="4"/>
      <c r="O27" s="4"/>
      <c r="P27" s="4"/>
      <c r="Q27" s="8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</row>
    <row r="28" spans="1:227" x14ac:dyDescent="0.25">
      <c r="A28" s="88" t="s">
        <v>95</v>
      </c>
      <c r="B28" s="86">
        <f t="shared" si="0"/>
        <v>284211.42105263163</v>
      </c>
      <c r="C28" s="17">
        <f>'[1]Расч дот РФФПП'!V24*1%</f>
        <v>2842.105263157895</v>
      </c>
      <c r="D28" s="9">
        <f>'[1]Расч дот РФФПП'!V24*22%</f>
        <v>62526.315789473687</v>
      </c>
      <c r="E28" s="9">
        <f>'[1]Расч дот РФФПП'!V24*1%</f>
        <v>2842.105263157895</v>
      </c>
      <c r="F28" s="9">
        <f>'[1]Расч дот РФФПП'!V24*55%+K28-1</f>
        <v>159156.78947368424</v>
      </c>
      <c r="G28" s="9">
        <f>'[1]Расч дот РФФПП'!V24*20%+2</f>
        <v>56844.1052631579</v>
      </c>
      <c r="H28" s="429">
        <f t="shared" si="1"/>
        <v>284211.42105263163</v>
      </c>
      <c r="I28" s="429">
        <f t="shared" si="2"/>
        <v>284211.42105263163</v>
      </c>
      <c r="J28" s="243"/>
      <c r="K28" s="4">
        <v>2842</v>
      </c>
      <c r="L28" s="4"/>
      <c r="M28" s="4"/>
      <c r="N28" s="4"/>
      <c r="O28" s="4"/>
      <c r="P28" s="4"/>
      <c r="Q28" s="8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</row>
    <row r="29" spans="1:227" x14ac:dyDescent="0.25">
      <c r="A29" s="88" t="s">
        <v>96</v>
      </c>
      <c r="B29" s="86">
        <f t="shared" si="0"/>
        <v>145955.79075738127</v>
      </c>
      <c r="C29" s="17">
        <f>'[1]Расч дот РФФПП'!V25*1%</f>
        <v>1459.563543003851</v>
      </c>
      <c r="D29" s="9">
        <f>'[1]Расч дот РФФПП'!V25*22%</f>
        <v>32110.397946084722</v>
      </c>
      <c r="E29" s="9">
        <f>'[1]Расч дот РФФПП'!V25*1%</f>
        <v>1459.563543003851</v>
      </c>
      <c r="F29" s="9">
        <f>'[1]Расч дот РФФПП'!V25*55%+K29</f>
        <v>81735.994865211818</v>
      </c>
      <c r="G29" s="9">
        <f>'[1]Расч дот РФФПП'!V25*20%-1</f>
        <v>29190.270860077024</v>
      </c>
      <c r="H29" s="429">
        <f t="shared" si="1"/>
        <v>145955.79075738127</v>
      </c>
      <c r="I29" s="429">
        <f t="shared" si="2"/>
        <v>145955.79075738127</v>
      </c>
      <c r="J29" s="243"/>
      <c r="K29" s="4">
        <v>1460</v>
      </c>
      <c r="L29" s="4"/>
      <c r="M29" s="4"/>
      <c r="N29" s="4"/>
      <c r="O29" s="4"/>
      <c r="P29" s="4"/>
      <c r="Q29" s="8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</row>
    <row r="30" spans="1:227" ht="15.75" thickBot="1" x14ac:dyDescent="0.3">
      <c r="A30" s="89" t="s">
        <v>97</v>
      </c>
      <c r="B30" s="86">
        <f t="shared" si="0"/>
        <v>254364.92426187423</v>
      </c>
      <c r="C30" s="17">
        <f>'[1]Расч дот РФФПП'!V26*1%</f>
        <v>2543.6456996148909</v>
      </c>
      <c r="D30" s="9">
        <f>'[1]Расч дот РФФПП'!V26*22%</f>
        <v>55960.205391527597</v>
      </c>
      <c r="E30" s="9">
        <f>'[1]Расч дот РФФПП'!V26*1%</f>
        <v>2543.6456996148909</v>
      </c>
      <c r="F30" s="9">
        <f>'[1]Расч дот РФФПП'!V26*55%+K30</f>
        <v>142444.51347881902</v>
      </c>
      <c r="G30" s="9">
        <f>'[1]Расч дот РФФПП'!V26*20%</f>
        <v>50872.913992297821</v>
      </c>
      <c r="H30" s="429">
        <f t="shared" si="1"/>
        <v>254364.92426187423</v>
      </c>
      <c r="I30" s="429">
        <f t="shared" si="2"/>
        <v>254364.92426187423</v>
      </c>
      <c r="J30" s="243"/>
      <c r="K30" s="4">
        <v>2544</v>
      </c>
      <c r="L30" s="4"/>
      <c r="M30" s="4"/>
      <c r="N30" s="4"/>
      <c r="O30" s="4"/>
      <c r="P30" s="4"/>
      <c r="Q30" s="8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</row>
    <row r="31" spans="1:227" ht="15.75" thickBot="1" x14ac:dyDescent="0.3">
      <c r="A31" s="90" t="s">
        <v>1</v>
      </c>
      <c r="B31" s="91">
        <f t="shared" ref="B31:I31" si="3">SUM(B11:B30)</f>
        <v>8999999.5211810004</v>
      </c>
      <c r="C31" s="91">
        <f t="shared" si="3"/>
        <v>60000.345314505779</v>
      </c>
      <c r="D31" s="91">
        <f t="shared" si="3"/>
        <v>1979999.9999999998</v>
      </c>
      <c r="E31" s="91">
        <f t="shared" si="3"/>
        <v>90000</v>
      </c>
      <c r="F31" s="91">
        <f t="shared" si="3"/>
        <v>5040000</v>
      </c>
      <c r="G31" s="91">
        <f t="shared" si="3"/>
        <v>1829999.1758664961</v>
      </c>
      <c r="H31" s="91">
        <f t="shared" si="3"/>
        <v>8999999.5211810004</v>
      </c>
      <c r="I31" s="92">
        <f t="shared" si="3"/>
        <v>8999999.5211810004</v>
      </c>
      <c r="J31" s="245"/>
      <c r="K31" s="4">
        <v>90</v>
      </c>
      <c r="N31" s="4"/>
      <c r="O31" s="1"/>
    </row>
    <row r="32" spans="1:227" x14ac:dyDescent="0.25">
      <c r="A32" s="3"/>
      <c r="B32" s="73"/>
      <c r="C32" s="73"/>
    </row>
    <row r="33" spans="1:3" x14ac:dyDescent="0.25">
      <c r="A33" s="3"/>
      <c r="B33" s="73"/>
      <c r="C33" s="73"/>
    </row>
    <row r="34" spans="1:3" x14ac:dyDescent="0.25">
      <c r="A34" s="3"/>
      <c r="B34" s="73"/>
      <c r="C34" s="73"/>
    </row>
    <row r="35" spans="1:3" x14ac:dyDescent="0.25">
      <c r="A35" s="3"/>
      <c r="B35" s="73"/>
      <c r="C35" s="73"/>
    </row>
    <row r="36" spans="1:3" x14ac:dyDescent="0.25">
      <c r="A36" s="3"/>
      <c r="B36" s="73"/>
      <c r="C36" s="73"/>
    </row>
    <row r="37" spans="1:3" x14ac:dyDescent="0.25">
      <c r="B37" s="93"/>
      <c r="C37" s="93"/>
    </row>
  </sheetData>
  <mergeCells count="12">
    <mergeCell ref="B4:I4"/>
    <mergeCell ref="F1:I1"/>
    <mergeCell ref="F2:I2"/>
    <mergeCell ref="F3:I3"/>
    <mergeCell ref="A5:I5"/>
    <mergeCell ref="A8:A9"/>
    <mergeCell ref="B8:B9"/>
    <mergeCell ref="I8:I9"/>
    <mergeCell ref="H6:I6"/>
    <mergeCell ref="B7:I7"/>
    <mergeCell ref="C8:G8"/>
    <mergeCell ref="H8:H9"/>
  </mergeCells>
  <pageMargins left="0.7" right="0.7" top="0.75" bottom="0.75" header="0.3" footer="0.3"/>
  <pageSetup paperSize="9" scale="81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41"/>
  <sheetViews>
    <sheetView workbookViewId="0">
      <selection activeCell="C3" sqref="C3:F3"/>
    </sheetView>
  </sheetViews>
  <sheetFormatPr defaultRowHeight="15" x14ac:dyDescent="0.25"/>
  <cols>
    <col min="1" max="1" width="17.5703125" customWidth="1"/>
    <col min="2" max="2" width="11.5703125" customWidth="1"/>
    <col min="3" max="3" width="53.42578125" customWidth="1"/>
    <col min="4" max="4" width="0.28515625" customWidth="1"/>
    <col min="5" max="6" width="9.140625" hidden="1" customWidth="1"/>
  </cols>
  <sheetData>
    <row r="1" spans="1:206" s="2" customFormat="1" ht="12.75" x14ac:dyDescent="0.2">
      <c r="A1" s="66"/>
      <c r="B1" s="66"/>
      <c r="C1" s="540" t="s">
        <v>599</v>
      </c>
      <c r="D1" s="540"/>
      <c r="E1" s="540"/>
      <c r="F1" s="540"/>
    </row>
    <row r="2" spans="1:206" s="2" customFormat="1" ht="12.75" x14ac:dyDescent="0.2">
      <c r="A2" s="66"/>
      <c r="B2" s="66"/>
      <c r="C2" s="540" t="s">
        <v>571</v>
      </c>
      <c r="D2" s="540"/>
      <c r="E2" s="540"/>
      <c r="F2" s="540"/>
    </row>
    <row r="3" spans="1:206" s="2" customFormat="1" ht="12.75" x14ac:dyDescent="0.2">
      <c r="A3" s="66"/>
      <c r="B3" s="66"/>
      <c r="C3" s="540" t="s">
        <v>623</v>
      </c>
      <c r="D3" s="540"/>
      <c r="E3" s="540"/>
      <c r="F3" s="540"/>
    </row>
    <row r="4" spans="1:206" x14ac:dyDescent="0.25">
      <c r="A4" s="460"/>
      <c r="B4" s="461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0"/>
      <c r="DF4" s="460"/>
      <c r="DG4" s="460"/>
      <c r="DH4" s="460"/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0"/>
      <c r="DZ4" s="460"/>
      <c r="EA4" s="460"/>
      <c r="EB4" s="460"/>
      <c r="EC4" s="460"/>
      <c r="ED4" s="460"/>
      <c r="EE4" s="460"/>
      <c r="EF4" s="460"/>
      <c r="EG4" s="460"/>
      <c r="EH4" s="460"/>
      <c r="EI4" s="460"/>
      <c r="EJ4" s="460"/>
      <c r="EK4" s="460"/>
      <c r="EL4" s="460"/>
      <c r="EM4" s="460"/>
      <c r="EN4" s="460"/>
      <c r="EO4" s="460"/>
      <c r="EP4" s="460"/>
      <c r="EQ4" s="460"/>
      <c r="ER4" s="460"/>
      <c r="ES4" s="460"/>
      <c r="ET4" s="460"/>
      <c r="EU4" s="460"/>
      <c r="EV4" s="460"/>
      <c r="EW4" s="460"/>
      <c r="EX4" s="460"/>
      <c r="EY4" s="460"/>
      <c r="EZ4" s="460"/>
      <c r="FA4" s="460"/>
      <c r="FB4" s="460"/>
      <c r="FC4" s="460"/>
      <c r="FD4" s="460"/>
      <c r="FE4" s="460"/>
      <c r="FF4" s="460"/>
      <c r="FG4" s="460"/>
      <c r="FH4" s="460"/>
      <c r="FI4" s="460"/>
      <c r="FJ4" s="460"/>
      <c r="FK4" s="460"/>
      <c r="FL4" s="460"/>
      <c r="FM4" s="460"/>
      <c r="FN4" s="460"/>
      <c r="FO4" s="460"/>
      <c r="FP4" s="460"/>
      <c r="FQ4" s="460"/>
      <c r="FR4" s="460"/>
      <c r="FS4" s="460"/>
      <c r="FT4" s="460"/>
      <c r="FU4" s="460"/>
      <c r="FV4" s="460"/>
      <c r="FW4" s="460"/>
      <c r="FX4" s="460"/>
      <c r="FY4" s="460"/>
      <c r="FZ4" s="460"/>
      <c r="GA4" s="460"/>
      <c r="GB4" s="460"/>
      <c r="GC4" s="460"/>
      <c r="GD4" s="460"/>
      <c r="GE4" s="460"/>
      <c r="GF4" s="460"/>
      <c r="GG4" s="460"/>
      <c r="GH4" s="460"/>
      <c r="GI4" s="460"/>
      <c r="GJ4" s="460"/>
      <c r="GK4" s="460"/>
      <c r="GL4" s="460"/>
      <c r="GM4" s="460"/>
      <c r="GN4" s="460"/>
      <c r="GO4" s="460"/>
      <c r="GP4" s="460"/>
      <c r="GQ4" s="460"/>
      <c r="GR4" s="460"/>
      <c r="GS4" s="460"/>
      <c r="GT4" s="460"/>
      <c r="GU4" s="460"/>
      <c r="GV4" s="460"/>
      <c r="GW4" s="460"/>
      <c r="GX4" s="460"/>
    </row>
    <row r="5" spans="1:206" ht="15" customHeight="1" x14ac:dyDescent="0.25">
      <c r="A5" s="543" t="s">
        <v>558</v>
      </c>
      <c r="B5" s="543"/>
      <c r="C5" s="543"/>
      <c r="D5" s="460"/>
      <c r="E5" s="460" t="s">
        <v>0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460"/>
      <c r="BC5" s="460"/>
      <c r="BD5" s="460"/>
      <c r="BE5" s="460"/>
      <c r="BF5" s="460"/>
      <c r="BG5" s="460"/>
      <c r="BH5" s="460"/>
      <c r="BI5" s="460"/>
      <c r="BJ5" s="460"/>
      <c r="BK5" s="460"/>
      <c r="BL5" s="460"/>
      <c r="BM5" s="460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460"/>
      <c r="CB5" s="460"/>
      <c r="CC5" s="460"/>
      <c r="CD5" s="460"/>
      <c r="CE5" s="460"/>
      <c r="CF5" s="460"/>
      <c r="CG5" s="460"/>
      <c r="CH5" s="460"/>
      <c r="CI5" s="460"/>
      <c r="CJ5" s="460"/>
      <c r="CK5" s="460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0"/>
      <c r="DH5" s="460"/>
      <c r="DI5" s="460"/>
      <c r="DJ5" s="460"/>
      <c r="DK5" s="460"/>
      <c r="DL5" s="460"/>
      <c r="DM5" s="460"/>
      <c r="DN5" s="460"/>
      <c r="DO5" s="460"/>
      <c r="DP5" s="460"/>
      <c r="DQ5" s="460"/>
      <c r="DR5" s="460"/>
      <c r="DS5" s="460"/>
      <c r="DT5" s="460"/>
      <c r="DU5" s="460"/>
      <c r="DV5" s="460"/>
      <c r="DW5" s="460"/>
      <c r="DX5" s="460"/>
      <c r="DY5" s="460"/>
      <c r="DZ5" s="460"/>
      <c r="EA5" s="460"/>
      <c r="EB5" s="460"/>
      <c r="EC5" s="460"/>
      <c r="ED5" s="460"/>
      <c r="EE5" s="460"/>
      <c r="EF5" s="460"/>
      <c r="EG5" s="460"/>
      <c r="EH5" s="460"/>
      <c r="EI5" s="460"/>
      <c r="EJ5" s="460"/>
      <c r="EK5" s="460"/>
      <c r="EL5" s="460"/>
      <c r="EM5" s="460"/>
      <c r="EN5" s="460"/>
      <c r="EO5" s="460"/>
      <c r="EP5" s="460"/>
      <c r="EQ5" s="460"/>
      <c r="ER5" s="460"/>
      <c r="ES5" s="460"/>
      <c r="ET5" s="460"/>
      <c r="EU5" s="460"/>
      <c r="EV5" s="460"/>
      <c r="EW5" s="460"/>
      <c r="EX5" s="460"/>
      <c r="EY5" s="460"/>
      <c r="EZ5" s="460"/>
      <c r="FA5" s="460"/>
      <c r="FB5" s="460"/>
      <c r="FC5" s="460"/>
      <c r="FD5" s="460"/>
      <c r="FE5" s="460"/>
      <c r="FF5" s="460"/>
      <c r="FG5" s="460"/>
      <c r="FH5" s="460"/>
      <c r="FI5" s="460"/>
      <c r="FJ5" s="460"/>
      <c r="FK5" s="460"/>
      <c r="FL5" s="460"/>
      <c r="FM5" s="460"/>
      <c r="FN5" s="460"/>
      <c r="FO5" s="460"/>
      <c r="FP5" s="460"/>
      <c r="FQ5" s="460"/>
      <c r="FR5" s="460"/>
      <c r="FS5" s="460"/>
      <c r="FT5" s="460"/>
      <c r="FU5" s="460"/>
      <c r="FV5" s="460"/>
      <c r="FW5" s="460"/>
      <c r="FX5" s="460"/>
      <c r="FY5" s="460"/>
      <c r="FZ5" s="460"/>
      <c r="GA5" s="460"/>
      <c r="GB5" s="460"/>
      <c r="GC5" s="460"/>
      <c r="GD5" s="460"/>
      <c r="GE5" s="460"/>
      <c r="GF5" s="460"/>
      <c r="GG5" s="460"/>
      <c r="GH5" s="460"/>
      <c r="GI5" s="460"/>
      <c r="GJ5" s="460"/>
      <c r="GK5" s="460"/>
      <c r="GL5" s="460"/>
      <c r="GM5" s="460"/>
      <c r="GN5" s="460"/>
      <c r="GO5" s="460"/>
      <c r="GP5" s="460"/>
      <c r="GQ5" s="460"/>
      <c r="GR5" s="460"/>
      <c r="GS5" s="460"/>
      <c r="GT5" s="460"/>
      <c r="GU5" s="460"/>
      <c r="GV5" s="460"/>
      <c r="GW5" s="460"/>
      <c r="GX5" s="460"/>
    </row>
    <row r="6" spans="1:206" x14ac:dyDescent="0.25">
      <c r="A6" s="464"/>
      <c r="B6" s="40"/>
      <c r="C6" s="464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0"/>
      <c r="BD6" s="460"/>
      <c r="BE6" s="460"/>
      <c r="BF6" s="460"/>
      <c r="BG6" s="460"/>
      <c r="BH6" s="460"/>
      <c r="BI6" s="460"/>
      <c r="BJ6" s="460"/>
      <c r="BK6" s="460"/>
      <c r="BL6" s="460"/>
      <c r="BM6" s="460"/>
      <c r="BN6" s="460"/>
      <c r="BO6" s="460"/>
      <c r="BP6" s="460"/>
      <c r="BQ6" s="460"/>
      <c r="BR6" s="460"/>
      <c r="BS6" s="460"/>
      <c r="BT6" s="460"/>
      <c r="BU6" s="460"/>
      <c r="BV6" s="460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0"/>
      <c r="CM6" s="460"/>
      <c r="CN6" s="460"/>
      <c r="CO6" s="460"/>
      <c r="CP6" s="460"/>
      <c r="CQ6" s="460"/>
      <c r="CR6" s="460"/>
      <c r="CS6" s="460"/>
      <c r="CT6" s="460"/>
      <c r="CU6" s="460"/>
      <c r="CV6" s="460"/>
      <c r="CW6" s="460"/>
      <c r="CX6" s="460"/>
      <c r="CY6" s="460"/>
      <c r="CZ6" s="460"/>
      <c r="DA6" s="460"/>
      <c r="DB6" s="460"/>
      <c r="DC6" s="460"/>
      <c r="DD6" s="460"/>
      <c r="DE6" s="460"/>
      <c r="DF6" s="460"/>
      <c r="DG6" s="460"/>
      <c r="DH6" s="460"/>
      <c r="DI6" s="460"/>
      <c r="DJ6" s="460"/>
      <c r="DK6" s="460"/>
      <c r="DL6" s="460"/>
      <c r="DM6" s="460"/>
      <c r="DN6" s="460"/>
      <c r="DO6" s="460"/>
      <c r="DP6" s="460"/>
      <c r="DQ6" s="460"/>
      <c r="DR6" s="460"/>
      <c r="DS6" s="460"/>
      <c r="DT6" s="460"/>
      <c r="DU6" s="460"/>
      <c r="DV6" s="460"/>
      <c r="DW6" s="460"/>
      <c r="DX6" s="460"/>
      <c r="DY6" s="460"/>
      <c r="DZ6" s="460"/>
      <c r="EA6" s="460"/>
      <c r="EB6" s="460"/>
      <c r="EC6" s="460"/>
      <c r="ED6" s="460"/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  <c r="FF6" s="460"/>
      <c r="FG6" s="460"/>
      <c r="FH6" s="460"/>
      <c r="FI6" s="460"/>
      <c r="FJ6" s="460"/>
      <c r="FK6" s="460"/>
      <c r="FL6" s="460"/>
      <c r="FM6" s="460"/>
      <c r="FN6" s="460"/>
      <c r="FO6" s="460"/>
      <c r="FP6" s="460"/>
      <c r="FQ6" s="460"/>
      <c r="FR6" s="460"/>
      <c r="FS6" s="460"/>
      <c r="FT6" s="460"/>
      <c r="FU6" s="460"/>
      <c r="FV6" s="460"/>
      <c r="FW6" s="460"/>
      <c r="FX6" s="460"/>
      <c r="FY6" s="460"/>
      <c r="FZ6" s="460"/>
      <c r="GA6" s="460"/>
      <c r="GB6" s="460"/>
      <c r="GC6" s="460"/>
      <c r="GD6" s="460"/>
      <c r="GE6" s="460"/>
      <c r="GF6" s="460"/>
      <c r="GG6" s="460"/>
      <c r="GH6" s="460"/>
      <c r="GI6" s="460"/>
      <c r="GJ6" s="460"/>
      <c r="GK6" s="460"/>
      <c r="GL6" s="460"/>
      <c r="GM6" s="460"/>
      <c r="GN6" s="460"/>
      <c r="GO6" s="460"/>
      <c r="GP6" s="460"/>
      <c r="GQ6" s="460"/>
      <c r="GR6" s="460"/>
      <c r="GS6" s="460"/>
      <c r="GT6" s="460"/>
      <c r="GU6" s="460"/>
      <c r="GV6" s="460"/>
      <c r="GW6" s="460"/>
      <c r="GX6" s="460"/>
    </row>
    <row r="7" spans="1:206" x14ac:dyDescent="0.25">
      <c r="A7" s="556" t="s">
        <v>104</v>
      </c>
      <c r="B7" s="556" t="s">
        <v>6</v>
      </c>
      <c r="C7" s="556" t="s">
        <v>559</v>
      </c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60"/>
      <c r="DW7" s="460"/>
      <c r="DX7" s="460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  <c r="FJ7" s="460"/>
      <c r="FK7" s="460"/>
      <c r="FL7" s="460"/>
      <c r="FM7" s="460"/>
      <c r="FN7" s="460"/>
      <c r="FO7" s="460"/>
      <c r="FP7" s="460"/>
      <c r="FQ7" s="460"/>
      <c r="FR7" s="460"/>
      <c r="FS7" s="460"/>
      <c r="FT7" s="460"/>
      <c r="FU7" s="460"/>
      <c r="FV7" s="460"/>
      <c r="FW7" s="460"/>
      <c r="FX7" s="460"/>
      <c r="FY7" s="460"/>
      <c r="FZ7" s="460"/>
      <c r="GA7" s="460"/>
      <c r="GB7" s="460"/>
      <c r="GC7" s="460"/>
      <c r="GD7" s="460"/>
      <c r="GE7" s="460"/>
      <c r="GF7" s="460"/>
      <c r="GG7" s="460"/>
      <c r="GH7" s="460"/>
      <c r="GI7" s="460"/>
      <c r="GJ7" s="460"/>
      <c r="GK7" s="460"/>
      <c r="GL7" s="460"/>
      <c r="GM7" s="460"/>
      <c r="GN7" s="460"/>
      <c r="GO7" s="460"/>
      <c r="GP7" s="460"/>
      <c r="GQ7" s="460"/>
      <c r="GR7" s="460"/>
      <c r="GS7" s="460"/>
      <c r="GT7" s="460"/>
      <c r="GU7" s="460"/>
      <c r="GV7" s="460"/>
      <c r="GW7" s="460"/>
      <c r="GX7" s="460"/>
    </row>
    <row r="8" spans="1:206" s="3" customFormat="1" ht="12.75" hidden="1" customHeight="1" x14ac:dyDescent="0.25">
      <c r="A8" s="556"/>
      <c r="B8" s="556"/>
      <c r="C8" s="556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60"/>
      <c r="BC8" s="460"/>
      <c r="BD8" s="460"/>
      <c r="BE8" s="460"/>
      <c r="BF8" s="460"/>
      <c r="BG8" s="460"/>
      <c r="BH8" s="460"/>
      <c r="BI8" s="460"/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460"/>
      <c r="CH8" s="460"/>
      <c r="CI8" s="460"/>
      <c r="CJ8" s="460"/>
      <c r="CK8" s="460"/>
      <c r="CL8" s="460"/>
      <c r="CM8" s="460"/>
      <c r="CN8" s="460"/>
      <c r="CO8" s="460"/>
      <c r="CP8" s="460"/>
      <c r="CQ8" s="460"/>
      <c r="CR8" s="460"/>
      <c r="CS8" s="460"/>
      <c r="CT8" s="460"/>
      <c r="CU8" s="460"/>
      <c r="CV8" s="460"/>
      <c r="CW8" s="460"/>
      <c r="CX8" s="460"/>
      <c r="CY8" s="460"/>
      <c r="CZ8" s="460"/>
      <c r="DA8" s="460"/>
      <c r="DB8" s="460"/>
      <c r="DC8" s="460"/>
      <c r="DD8" s="460"/>
      <c r="DE8" s="460"/>
      <c r="DF8" s="460"/>
      <c r="DG8" s="460"/>
      <c r="DH8" s="460"/>
      <c r="DI8" s="460"/>
      <c r="DJ8" s="460"/>
      <c r="DK8" s="460"/>
      <c r="DL8" s="460"/>
      <c r="DM8" s="460"/>
      <c r="DN8" s="460"/>
      <c r="DO8" s="460"/>
      <c r="DP8" s="460"/>
      <c r="DQ8" s="460"/>
      <c r="DR8" s="460"/>
      <c r="DS8" s="460"/>
      <c r="DT8" s="460"/>
      <c r="DU8" s="460"/>
      <c r="DV8" s="460"/>
      <c r="DW8" s="460"/>
      <c r="DX8" s="460"/>
      <c r="DY8" s="460"/>
      <c r="DZ8" s="460"/>
      <c r="EA8" s="460"/>
      <c r="EB8" s="460"/>
      <c r="EC8" s="460"/>
      <c r="ED8" s="460"/>
      <c r="EE8" s="460"/>
      <c r="EF8" s="460"/>
      <c r="EG8" s="460"/>
      <c r="EH8" s="460"/>
      <c r="EI8" s="460"/>
      <c r="EJ8" s="460"/>
      <c r="EK8" s="460"/>
      <c r="EL8" s="460"/>
      <c r="EM8" s="460"/>
      <c r="EN8" s="460"/>
      <c r="EO8" s="460"/>
      <c r="EP8" s="460"/>
      <c r="EQ8" s="460"/>
      <c r="ER8" s="460"/>
      <c r="ES8" s="460"/>
      <c r="ET8" s="460"/>
      <c r="EU8" s="460"/>
      <c r="EV8" s="460"/>
      <c r="EW8" s="460"/>
      <c r="EX8" s="460"/>
      <c r="EY8" s="460"/>
      <c r="EZ8" s="460"/>
      <c r="FA8" s="460"/>
      <c r="FB8" s="460"/>
      <c r="FC8" s="460"/>
      <c r="FD8" s="460"/>
      <c r="FE8" s="460"/>
      <c r="FF8" s="460"/>
      <c r="FG8" s="460"/>
      <c r="FH8" s="460"/>
      <c r="FI8" s="460"/>
      <c r="FJ8" s="460"/>
      <c r="FK8" s="460"/>
      <c r="FL8" s="460"/>
      <c r="FM8" s="460"/>
      <c r="FN8" s="460"/>
      <c r="FO8" s="460"/>
      <c r="FP8" s="460"/>
      <c r="FQ8" s="460"/>
      <c r="FR8" s="460"/>
      <c r="FS8" s="460"/>
      <c r="FT8" s="460"/>
      <c r="FU8" s="460"/>
      <c r="FV8" s="460"/>
      <c r="FW8" s="460"/>
      <c r="FX8" s="460"/>
      <c r="FY8" s="460"/>
      <c r="FZ8" s="460"/>
      <c r="GA8" s="460"/>
      <c r="GB8" s="460"/>
      <c r="GC8" s="460"/>
      <c r="GD8" s="460"/>
      <c r="GE8" s="460"/>
      <c r="GF8" s="460"/>
      <c r="GG8" s="460"/>
      <c r="GH8" s="460"/>
      <c r="GI8" s="460"/>
      <c r="GJ8" s="460"/>
      <c r="GK8" s="460"/>
      <c r="GL8" s="460"/>
      <c r="GM8" s="460"/>
      <c r="GN8" s="460"/>
      <c r="GO8" s="460"/>
      <c r="GP8" s="460"/>
      <c r="GQ8" s="460"/>
      <c r="GR8" s="460"/>
      <c r="GS8" s="460"/>
      <c r="GT8" s="460"/>
      <c r="GU8" s="460"/>
      <c r="GV8" s="460"/>
      <c r="GW8" s="460"/>
      <c r="GX8" s="460"/>
    </row>
    <row r="9" spans="1:206" s="168" customFormat="1" x14ac:dyDescent="0.25">
      <c r="A9" s="556"/>
      <c r="B9" s="556"/>
      <c r="C9" s="556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0"/>
      <c r="DK9" s="460"/>
      <c r="DL9" s="460"/>
      <c r="DM9" s="460"/>
      <c r="DN9" s="460"/>
      <c r="DO9" s="460"/>
      <c r="DP9" s="460"/>
      <c r="DQ9" s="460"/>
      <c r="DR9" s="460"/>
      <c r="DS9" s="460"/>
      <c r="DT9" s="460"/>
      <c r="DU9" s="460"/>
      <c r="DV9" s="460"/>
      <c r="DW9" s="460"/>
      <c r="DX9" s="460"/>
      <c r="DY9" s="460"/>
      <c r="DZ9" s="460"/>
      <c r="EA9" s="460"/>
      <c r="EB9" s="460"/>
      <c r="EC9" s="460"/>
      <c r="ED9" s="460"/>
      <c r="EE9" s="460"/>
      <c r="EF9" s="460"/>
      <c r="EG9" s="460"/>
      <c r="EH9" s="460"/>
      <c r="EI9" s="460"/>
      <c r="EJ9" s="460"/>
      <c r="EK9" s="460"/>
      <c r="EL9" s="460"/>
      <c r="EM9" s="460"/>
      <c r="EN9" s="460"/>
      <c r="EO9" s="460"/>
      <c r="EP9" s="460"/>
      <c r="EQ9" s="460"/>
      <c r="ER9" s="460"/>
      <c r="ES9" s="460"/>
      <c r="ET9" s="460"/>
      <c r="EU9" s="460"/>
      <c r="EV9" s="460"/>
      <c r="EW9" s="460"/>
      <c r="EX9" s="460"/>
      <c r="EY9" s="460"/>
      <c r="EZ9" s="460"/>
      <c r="FA9" s="460"/>
      <c r="FB9" s="460"/>
      <c r="FC9" s="460"/>
      <c r="FD9" s="460"/>
      <c r="FE9" s="460"/>
      <c r="FF9" s="460"/>
      <c r="FG9" s="460"/>
      <c r="FH9" s="460"/>
      <c r="FI9" s="460"/>
      <c r="FJ9" s="460"/>
      <c r="FK9" s="460"/>
      <c r="FL9" s="460"/>
      <c r="FM9" s="460"/>
      <c r="FN9" s="460"/>
      <c r="FO9" s="460"/>
      <c r="FP9" s="460"/>
      <c r="FQ9" s="460"/>
      <c r="FR9" s="460"/>
      <c r="FS9" s="460"/>
      <c r="FT9" s="460"/>
      <c r="FU9" s="460"/>
      <c r="FV9" s="460"/>
      <c r="FW9" s="460"/>
      <c r="FX9" s="460"/>
      <c r="FY9" s="460"/>
      <c r="FZ9" s="460"/>
      <c r="GA9" s="460"/>
      <c r="GB9" s="460"/>
      <c r="GC9" s="460"/>
      <c r="GD9" s="460"/>
      <c r="GE9" s="460"/>
      <c r="GF9" s="460"/>
      <c r="GG9" s="460"/>
      <c r="GH9" s="460"/>
      <c r="GI9" s="460"/>
      <c r="GJ9" s="460"/>
      <c r="GK9" s="460"/>
      <c r="GL9" s="460"/>
      <c r="GM9" s="460"/>
      <c r="GN9" s="460"/>
      <c r="GO9" s="460"/>
      <c r="GP9" s="460"/>
      <c r="GQ9" s="460"/>
      <c r="GR9" s="460"/>
      <c r="GS9" s="460"/>
      <c r="GT9" s="460"/>
      <c r="GU9" s="460"/>
      <c r="GV9" s="460"/>
      <c r="GW9" s="460"/>
      <c r="GX9" s="460"/>
    </row>
    <row r="10" spans="1:206" x14ac:dyDescent="0.25">
      <c r="A10" s="465">
        <v>1</v>
      </c>
      <c r="B10" s="465">
        <v>2</v>
      </c>
      <c r="C10" s="466">
        <v>3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</row>
    <row r="11" spans="1:206" x14ac:dyDescent="0.25">
      <c r="A11" s="467" t="s">
        <v>78</v>
      </c>
      <c r="B11" s="468">
        <v>400000</v>
      </c>
      <c r="C11" s="469" t="s">
        <v>560</v>
      </c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0"/>
      <c r="DI11" s="460"/>
      <c r="DJ11" s="460"/>
      <c r="DK11" s="460"/>
      <c r="DL11" s="460"/>
      <c r="DM11" s="460"/>
      <c r="DN11" s="460"/>
      <c r="DO11" s="460"/>
      <c r="DP11" s="460"/>
      <c r="DQ11" s="460"/>
      <c r="DR11" s="460"/>
      <c r="DS11" s="460"/>
      <c r="DT11" s="460"/>
      <c r="DU11" s="460"/>
      <c r="DV11" s="460"/>
      <c r="DW11" s="460"/>
      <c r="DX11" s="460"/>
      <c r="DY11" s="460"/>
      <c r="DZ11" s="460"/>
      <c r="EA11" s="460"/>
      <c r="EB11" s="460"/>
      <c r="EC11" s="460"/>
      <c r="ED11" s="460"/>
      <c r="EE11" s="460"/>
      <c r="EF11" s="460"/>
      <c r="EG11" s="460"/>
      <c r="EH11" s="460"/>
      <c r="EI11" s="460"/>
      <c r="EJ11" s="460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60"/>
      <c r="EY11" s="460"/>
      <c r="EZ11" s="460"/>
      <c r="FA11" s="460"/>
      <c r="FB11" s="460"/>
      <c r="FC11" s="460"/>
      <c r="FD11" s="460"/>
      <c r="FE11" s="460"/>
      <c r="FF11" s="460"/>
      <c r="FG11" s="460"/>
      <c r="FH11" s="460"/>
      <c r="FI11" s="460"/>
      <c r="FJ11" s="460"/>
      <c r="FK11" s="460"/>
      <c r="FL11" s="460"/>
      <c r="FM11" s="460"/>
      <c r="FN11" s="460"/>
      <c r="FO11" s="460"/>
      <c r="FP11" s="460"/>
      <c r="FQ11" s="460"/>
      <c r="FR11" s="460"/>
      <c r="FS11" s="460"/>
      <c r="FT11" s="460"/>
      <c r="FU11" s="460"/>
      <c r="FV11" s="460"/>
      <c r="FW11" s="460"/>
      <c r="FX11" s="460"/>
      <c r="FY11" s="460"/>
      <c r="FZ11" s="460"/>
      <c r="GA11" s="460"/>
      <c r="GB11" s="460"/>
      <c r="GC11" s="460"/>
      <c r="GD11" s="460"/>
      <c r="GE11" s="460"/>
      <c r="GF11" s="460"/>
      <c r="GG11" s="460"/>
      <c r="GH11" s="460"/>
      <c r="GI11" s="460"/>
      <c r="GJ11" s="460"/>
      <c r="GK11" s="460"/>
      <c r="GL11" s="460"/>
      <c r="GM11" s="460"/>
      <c r="GN11" s="460"/>
      <c r="GO11" s="460"/>
      <c r="GP11" s="460"/>
      <c r="GQ11" s="460"/>
      <c r="GR11" s="460"/>
      <c r="GS11" s="460"/>
      <c r="GT11" s="460"/>
      <c r="GU11" s="460"/>
      <c r="GV11" s="460"/>
      <c r="GW11" s="460"/>
      <c r="GX11" s="460"/>
    </row>
    <row r="12" spans="1:206" x14ac:dyDescent="0.25">
      <c r="A12" s="470" t="s">
        <v>79</v>
      </c>
      <c r="B12" s="471"/>
      <c r="C12" s="469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0"/>
      <c r="EU12" s="460"/>
      <c r="EV12" s="460"/>
      <c r="EW12" s="460"/>
      <c r="EX12" s="460"/>
      <c r="EY12" s="460"/>
      <c r="EZ12" s="460"/>
      <c r="FA12" s="460"/>
      <c r="FB12" s="460"/>
      <c r="FC12" s="460"/>
      <c r="FD12" s="460"/>
      <c r="FE12" s="460"/>
      <c r="FF12" s="460"/>
      <c r="FG12" s="460"/>
      <c r="FH12" s="460"/>
      <c r="FI12" s="460"/>
      <c r="FJ12" s="460"/>
      <c r="FK12" s="460"/>
      <c r="FL12" s="460"/>
      <c r="FM12" s="460"/>
      <c r="FN12" s="460"/>
      <c r="FO12" s="460"/>
      <c r="FP12" s="460"/>
      <c r="FQ12" s="460"/>
      <c r="FR12" s="460"/>
      <c r="FS12" s="460"/>
      <c r="FT12" s="460"/>
      <c r="FU12" s="460"/>
      <c r="FV12" s="460"/>
      <c r="FW12" s="460"/>
      <c r="FX12" s="460"/>
      <c r="FY12" s="460"/>
      <c r="FZ12" s="460"/>
      <c r="GA12" s="460"/>
      <c r="GB12" s="460"/>
      <c r="GC12" s="460"/>
      <c r="GD12" s="460"/>
      <c r="GE12" s="460"/>
      <c r="GF12" s="460"/>
      <c r="GG12" s="460"/>
      <c r="GH12" s="460"/>
      <c r="GI12" s="460"/>
      <c r="GJ12" s="460"/>
      <c r="GK12" s="460"/>
      <c r="GL12" s="460"/>
      <c r="GM12" s="460"/>
      <c r="GN12" s="460"/>
      <c r="GO12" s="460"/>
      <c r="GP12" s="460"/>
      <c r="GQ12" s="460"/>
      <c r="GR12" s="460"/>
      <c r="GS12" s="460"/>
      <c r="GT12" s="460"/>
      <c r="GU12" s="460"/>
      <c r="GV12" s="460"/>
      <c r="GW12" s="460"/>
      <c r="GX12" s="460"/>
    </row>
    <row r="13" spans="1:206" x14ac:dyDescent="0.25">
      <c r="A13" s="470" t="s">
        <v>80</v>
      </c>
      <c r="B13" s="471"/>
      <c r="C13" s="469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0"/>
      <c r="FL13" s="460"/>
      <c r="FM13" s="460"/>
      <c r="FN13" s="460"/>
      <c r="FO13" s="460"/>
      <c r="FP13" s="460"/>
      <c r="FQ13" s="460"/>
      <c r="FR13" s="460"/>
      <c r="FS13" s="460"/>
      <c r="FT13" s="460"/>
      <c r="FU13" s="460"/>
      <c r="FV13" s="460"/>
      <c r="FW13" s="460"/>
      <c r="FX13" s="460"/>
      <c r="FY13" s="460"/>
      <c r="FZ13" s="460"/>
      <c r="GA13" s="460"/>
      <c r="GB13" s="460"/>
      <c r="GC13" s="460"/>
      <c r="GD13" s="460"/>
      <c r="GE13" s="460"/>
      <c r="GF13" s="460"/>
      <c r="GG13" s="460"/>
      <c r="GH13" s="460"/>
      <c r="GI13" s="460"/>
      <c r="GJ13" s="460"/>
      <c r="GK13" s="460"/>
      <c r="GL13" s="460"/>
      <c r="GM13" s="460"/>
      <c r="GN13" s="460"/>
      <c r="GO13" s="460"/>
      <c r="GP13" s="460"/>
      <c r="GQ13" s="460"/>
      <c r="GR13" s="460"/>
      <c r="GS13" s="460"/>
      <c r="GT13" s="460"/>
      <c r="GU13" s="460"/>
      <c r="GV13" s="460"/>
      <c r="GW13" s="460"/>
      <c r="GX13" s="460"/>
    </row>
    <row r="14" spans="1:206" x14ac:dyDescent="0.25">
      <c r="A14" s="470" t="s">
        <v>81</v>
      </c>
      <c r="B14" s="471"/>
      <c r="C14" s="469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0"/>
      <c r="ED14" s="460"/>
      <c r="EE14" s="460"/>
      <c r="EF14" s="460"/>
      <c r="EG14" s="460"/>
      <c r="EH14" s="460"/>
      <c r="EI14" s="460"/>
      <c r="EJ14" s="460"/>
      <c r="EK14" s="460"/>
      <c r="EL14" s="460"/>
      <c r="EM14" s="460"/>
      <c r="EN14" s="460"/>
      <c r="EO14" s="460"/>
      <c r="EP14" s="460"/>
      <c r="EQ14" s="460"/>
      <c r="ER14" s="460"/>
      <c r="ES14" s="460"/>
      <c r="ET14" s="460"/>
      <c r="EU14" s="460"/>
      <c r="EV14" s="460"/>
      <c r="EW14" s="460"/>
      <c r="EX14" s="460"/>
      <c r="EY14" s="460"/>
      <c r="EZ14" s="460"/>
      <c r="FA14" s="460"/>
      <c r="FB14" s="460"/>
      <c r="FC14" s="460"/>
      <c r="FD14" s="460"/>
      <c r="FE14" s="460"/>
      <c r="FF14" s="460"/>
      <c r="FG14" s="460"/>
      <c r="FH14" s="460"/>
      <c r="FI14" s="460"/>
      <c r="FJ14" s="460"/>
      <c r="FK14" s="460"/>
      <c r="FL14" s="460"/>
      <c r="FM14" s="460"/>
      <c r="FN14" s="460"/>
      <c r="FO14" s="460"/>
      <c r="FP14" s="460"/>
      <c r="FQ14" s="460"/>
      <c r="FR14" s="460"/>
      <c r="FS14" s="460"/>
      <c r="FT14" s="460"/>
      <c r="FU14" s="460"/>
      <c r="FV14" s="460"/>
      <c r="FW14" s="460"/>
      <c r="FX14" s="460"/>
      <c r="FY14" s="460"/>
      <c r="FZ14" s="460"/>
      <c r="GA14" s="460"/>
      <c r="GB14" s="460"/>
      <c r="GC14" s="460"/>
      <c r="GD14" s="460"/>
      <c r="GE14" s="460"/>
      <c r="GF14" s="460"/>
      <c r="GG14" s="460"/>
      <c r="GH14" s="460"/>
      <c r="GI14" s="460"/>
      <c r="GJ14" s="460"/>
      <c r="GK14" s="460"/>
      <c r="GL14" s="460"/>
      <c r="GM14" s="460"/>
      <c r="GN14" s="460"/>
      <c r="GO14" s="460"/>
      <c r="GP14" s="460"/>
      <c r="GQ14" s="460"/>
      <c r="GR14" s="460"/>
      <c r="GS14" s="460"/>
      <c r="GT14" s="460"/>
      <c r="GU14" s="460"/>
      <c r="GV14" s="460"/>
      <c r="GW14" s="460"/>
      <c r="GX14" s="460"/>
    </row>
    <row r="15" spans="1:206" x14ac:dyDescent="0.25">
      <c r="A15" s="470" t="s">
        <v>82</v>
      </c>
      <c r="B15" s="471"/>
      <c r="C15" s="469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</row>
    <row r="16" spans="1:206" x14ac:dyDescent="0.25">
      <c r="A16" s="470" t="s">
        <v>83</v>
      </c>
      <c r="B16" s="471"/>
      <c r="C16" s="469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</row>
    <row r="17" spans="1:206" x14ac:dyDescent="0.25">
      <c r="A17" s="470" t="s">
        <v>84</v>
      </c>
      <c r="B17" s="472">
        <v>1000000</v>
      </c>
      <c r="C17" s="469" t="s">
        <v>561</v>
      </c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0"/>
      <c r="FL17" s="460"/>
      <c r="FM17" s="460"/>
      <c r="FN17" s="460"/>
      <c r="FO17" s="460"/>
      <c r="FP17" s="460"/>
      <c r="FQ17" s="460"/>
      <c r="FR17" s="460"/>
      <c r="FS17" s="460"/>
      <c r="FT17" s="460"/>
      <c r="FU17" s="460"/>
      <c r="FV17" s="460"/>
      <c r="FW17" s="460"/>
      <c r="FX17" s="460"/>
      <c r="FY17" s="460"/>
      <c r="FZ17" s="460"/>
      <c r="GA17" s="460"/>
      <c r="GB17" s="460"/>
      <c r="GC17" s="460"/>
      <c r="GD17" s="460"/>
      <c r="GE17" s="460"/>
      <c r="GF17" s="460"/>
      <c r="GG17" s="460"/>
      <c r="GH17" s="460"/>
      <c r="GI17" s="460"/>
      <c r="GJ17" s="460"/>
      <c r="GK17" s="460"/>
      <c r="GL17" s="460"/>
      <c r="GM17" s="460"/>
      <c r="GN17" s="460"/>
      <c r="GO17" s="460"/>
      <c r="GP17" s="460"/>
      <c r="GQ17" s="460"/>
      <c r="GR17" s="460"/>
      <c r="GS17" s="460"/>
      <c r="GT17" s="460"/>
      <c r="GU17" s="460"/>
      <c r="GV17" s="460"/>
      <c r="GW17" s="460"/>
      <c r="GX17" s="460"/>
    </row>
    <row r="18" spans="1:206" x14ac:dyDescent="0.25">
      <c r="A18" s="470" t="s">
        <v>85</v>
      </c>
      <c r="B18" s="471"/>
      <c r="C18" s="469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0"/>
      <c r="FL18" s="460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  <c r="FX18" s="460"/>
      <c r="FY18" s="460"/>
      <c r="FZ18" s="460"/>
      <c r="GA18" s="460"/>
      <c r="GB18" s="460"/>
      <c r="GC18" s="460"/>
      <c r="GD18" s="460"/>
      <c r="GE18" s="460"/>
      <c r="GF18" s="460"/>
      <c r="GG18" s="460"/>
      <c r="GH18" s="460"/>
      <c r="GI18" s="460"/>
      <c r="GJ18" s="460"/>
      <c r="GK18" s="460"/>
      <c r="GL18" s="460"/>
      <c r="GM18" s="460"/>
      <c r="GN18" s="460"/>
      <c r="GO18" s="460"/>
      <c r="GP18" s="460"/>
      <c r="GQ18" s="460"/>
      <c r="GR18" s="460"/>
      <c r="GS18" s="460"/>
      <c r="GT18" s="460"/>
      <c r="GU18" s="460"/>
      <c r="GV18" s="460"/>
      <c r="GW18" s="460"/>
      <c r="GX18" s="460"/>
    </row>
    <row r="19" spans="1:206" x14ac:dyDescent="0.25">
      <c r="A19" s="470" t="s">
        <v>86</v>
      </c>
      <c r="B19" s="472">
        <v>445000</v>
      </c>
      <c r="C19" s="469" t="s">
        <v>618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0"/>
      <c r="FY19" s="460"/>
      <c r="FZ19" s="460"/>
      <c r="GA19" s="460"/>
      <c r="GB19" s="460"/>
      <c r="GC19" s="460"/>
      <c r="GD19" s="460"/>
      <c r="GE19" s="460"/>
      <c r="GF19" s="460"/>
      <c r="GG19" s="460"/>
      <c r="GH19" s="460"/>
      <c r="GI19" s="460"/>
      <c r="GJ19" s="460"/>
      <c r="GK19" s="460"/>
      <c r="GL19" s="460"/>
      <c r="GM19" s="460"/>
      <c r="GN19" s="460"/>
      <c r="GO19" s="460"/>
      <c r="GP19" s="460"/>
      <c r="GQ19" s="460"/>
      <c r="GR19" s="460"/>
      <c r="GS19" s="460"/>
      <c r="GT19" s="460"/>
      <c r="GU19" s="460"/>
      <c r="GV19" s="460"/>
      <c r="GW19" s="460"/>
      <c r="GX19" s="460"/>
    </row>
    <row r="20" spans="1:206" ht="39" x14ac:dyDescent="0.25">
      <c r="A20" s="470" t="s">
        <v>87</v>
      </c>
      <c r="B20" s="473">
        <v>1043000</v>
      </c>
      <c r="C20" s="469" t="s">
        <v>619</v>
      </c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460"/>
      <c r="FL20" s="460"/>
      <c r="FM20" s="460"/>
      <c r="FN20" s="460"/>
      <c r="FO20" s="460"/>
      <c r="FP20" s="460"/>
      <c r="FQ20" s="460"/>
      <c r="FR20" s="460"/>
      <c r="FS20" s="460"/>
      <c r="FT20" s="460"/>
      <c r="FU20" s="460"/>
      <c r="FV20" s="460"/>
      <c r="FW20" s="460"/>
      <c r="FX20" s="460"/>
      <c r="FY20" s="460"/>
      <c r="FZ20" s="460"/>
      <c r="GA20" s="460"/>
      <c r="GB20" s="460"/>
      <c r="GC20" s="460"/>
      <c r="GD20" s="460"/>
      <c r="GE20" s="460"/>
      <c r="GF20" s="460"/>
      <c r="GG20" s="460"/>
      <c r="GH20" s="460"/>
      <c r="GI20" s="460"/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0"/>
      <c r="GV20" s="460"/>
      <c r="GW20" s="460"/>
      <c r="GX20" s="460"/>
    </row>
    <row r="21" spans="1:206" x14ac:dyDescent="0.25">
      <c r="A21" s="470" t="s">
        <v>88</v>
      </c>
      <c r="B21" s="472">
        <v>600000</v>
      </c>
      <c r="C21" s="469" t="s">
        <v>562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0"/>
      <c r="EF21" s="460"/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60"/>
      <c r="EW21" s="460"/>
      <c r="EX21" s="460"/>
      <c r="EY21" s="460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460"/>
      <c r="FL21" s="460"/>
      <c r="FM21" s="460"/>
      <c r="FN21" s="460"/>
      <c r="FO21" s="460"/>
      <c r="FP21" s="460"/>
      <c r="FQ21" s="460"/>
      <c r="FR21" s="460"/>
      <c r="FS21" s="460"/>
      <c r="FT21" s="460"/>
      <c r="FU21" s="460"/>
      <c r="FV21" s="460"/>
      <c r="FW21" s="460"/>
      <c r="FX21" s="460"/>
      <c r="FY21" s="460"/>
      <c r="FZ21" s="460"/>
      <c r="GA21" s="460"/>
      <c r="GB21" s="460"/>
      <c r="GC21" s="460"/>
      <c r="GD21" s="460"/>
      <c r="GE21" s="460"/>
      <c r="GF21" s="460"/>
      <c r="GG21" s="460"/>
      <c r="GH21" s="460"/>
      <c r="GI21" s="460"/>
      <c r="GJ21" s="460"/>
      <c r="GK21" s="460"/>
      <c r="GL21" s="460"/>
      <c r="GM21" s="460"/>
      <c r="GN21" s="460"/>
      <c r="GO21" s="460"/>
      <c r="GP21" s="460"/>
      <c r="GQ21" s="460"/>
      <c r="GR21" s="460"/>
      <c r="GS21" s="460"/>
      <c r="GT21" s="460"/>
      <c r="GU21" s="460"/>
      <c r="GV21" s="460"/>
      <c r="GW21" s="460"/>
      <c r="GX21" s="460"/>
    </row>
    <row r="22" spans="1:206" x14ac:dyDescent="0.25">
      <c r="A22" s="470" t="s">
        <v>89</v>
      </c>
      <c r="B22" s="472">
        <v>320000</v>
      </c>
      <c r="C22" s="469" t="s">
        <v>563</v>
      </c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</row>
    <row r="23" spans="1:206" x14ac:dyDescent="0.25">
      <c r="A23" s="470" t="s">
        <v>90</v>
      </c>
      <c r="B23" s="472">
        <v>800000</v>
      </c>
      <c r="C23" s="469" t="s">
        <v>564</v>
      </c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60"/>
      <c r="EW23" s="460"/>
      <c r="EX23" s="460"/>
      <c r="EY23" s="460"/>
      <c r="EZ23" s="460"/>
      <c r="FA23" s="460"/>
      <c r="FB23" s="460"/>
      <c r="FC23" s="460"/>
      <c r="FD23" s="460"/>
      <c r="FE23" s="460"/>
      <c r="FF23" s="460"/>
      <c r="FG23" s="460"/>
      <c r="FH23" s="460"/>
      <c r="FI23" s="460"/>
      <c r="FJ23" s="460"/>
      <c r="FK23" s="460"/>
      <c r="FL23" s="460"/>
      <c r="FM23" s="460"/>
      <c r="FN23" s="460"/>
      <c r="FO23" s="460"/>
      <c r="FP23" s="460"/>
      <c r="FQ23" s="460"/>
      <c r="FR23" s="460"/>
      <c r="FS23" s="460"/>
      <c r="FT23" s="460"/>
      <c r="FU23" s="460"/>
      <c r="FV23" s="460"/>
      <c r="FW23" s="460"/>
      <c r="FX23" s="460"/>
      <c r="FY23" s="460"/>
      <c r="FZ23" s="460"/>
      <c r="GA23" s="460"/>
      <c r="GB23" s="460"/>
      <c r="GC23" s="460"/>
      <c r="GD23" s="460"/>
      <c r="GE23" s="460"/>
      <c r="GF23" s="460"/>
      <c r="GG23" s="460"/>
      <c r="GH23" s="460"/>
      <c r="GI23" s="460"/>
      <c r="GJ23" s="460"/>
      <c r="GK23" s="460"/>
      <c r="GL23" s="460"/>
      <c r="GM23" s="460"/>
      <c r="GN23" s="460"/>
      <c r="GO23" s="460"/>
      <c r="GP23" s="460"/>
      <c r="GQ23" s="460"/>
      <c r="GR23" s="460"/>
      <c r="GS23" s="460"/>
      <c r="GT23" s="460"/>
      <c r="GU23" s="460"/>
      <c r="GV23" s="460"/>
      <c r="GW23" s="460"/>
      <c r="GX23" s="460"/>
    </row>
    <row r="24" spans="1:206" ht="26.25" x14ac:dyDescent="0.25">
      <c r="A24" s="470" t="s">
        <v>91</v>
      </c>
      <c r="B24" s="472">
        <v>900000</v>
      </c>
      <c r="C24" s="469" t="s">
        <v>620</v>
      </c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460"/>
      <c r="FO24" s="460"/>
      <c r="FP24" s="460"/>
      <c r="FQ24" s="460"/>
      <c r="FR24" s="460"/>
      <c r="FS24" s="460"/>
      <c r="FT24" s="460"/>
      <c r="FU24" s="460"/>
      <c r="FV24" s="460"/>
      <c r="FW24" s="460"/>
      <c r="FX24" s="460"/>
      <c r="FY24" s="460"/>
      <c r="FZ24" s="460"/>
      <c r="GA24" s="460"/>
      <c r="GB24" s="460"/>
      <c r="GC24" s="460"/>
      <c r="GD24" s="460"/>
      <c r="GE24" s="460"/>
      <c r="GF24" s="460"/>
      <c r="GG24" s="460"/>
      <c r="GH24" s="460"/>
      <c r="GI24" s="460"/>
      <c r="GJ24" s="460"/>
      <c r="GK24" s="460"/>
      <c r="GL24" s="460"/>
      <c r="GM24" s="460"/>
      <c r="GN24" s="460"/>
      <c r="GO24" s="460"/>
      <c r="GP24" s="460"/>
      <c r="GQ24" s="460"/>
      <c r="GR24" s="460"/>
      <c r="GS24" s="460"/>
      <c r="GT24" s="460"/>
      <c r="GU24" s="460"/>
      <c r="GV24" s="460"/>
      <c r="GW24" s="460"/>
      <c r="GX24" s="460"/>
    </row>
    <row r="25" spans="1:206" x14ac:dyDescent="0.25">
      <c r="A25" s="470" t="s">
        <v>92</v>
      </c>
      <c r="B25" s="471"/>
      <c r="C25" s="469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  <c r="FL25" s="460"/>
      <c r="FM25" s="460"/>
      <c r="FN25" s="460"/>
      <c r="FO25" s="460"/>
      <c r="FP25" s="460"/>
      <c r="FQ25" s="460"/>
      <c r="FR25" s="460"/>
      <c r="FS25" s="460"/>
      <c r="FT25" s="460"/>
      <c r="FU25" s="460"/>
      <c r="FV25" s="460"/>
      <c r="FW25" s="460"/>
      <c r="FX25" s="460"/>
      <c r="FY25" s="460"/>
      <c r="FZ25" s="460"/>
      <c r="GA25" s="460"/>
      <c r="GB25" s="460"/>
      <c r="GC25" s="460"/>
      <c r="GD25" s="460"/>
      <c r="GE25" s="460"/>
      <c r="GF25" s="460"/>
      <c r="GG25" s="460"/>
      <c r="GH25" s="460"/>
      <c r="GI25" s="460"/>
      <c r="GJ25" s="460"/>
      <c r="GK25" s="460"/>
      <c r="GL25" s="460"/>
      <c r="GM25" s="460"/>
      <c r="GN25" s="460"/>
      <c r="GO25" s="460"/>
      <c r="GP25" s="460"/>
      <c r="GQ25" s="460"/>
      <c r="GR25" s="460"/>
      <c r="GS25" s="460"/>
      <c r="GT25" s="460"/>
      <c r="GU25" s="460"/>
      <c r="GV25" s="460"/>
      <c r="GW25" s="460"/>
      <c r="GX25" s="460"/>
    </row>
    <row r="26" spans="1:206" x14ac:dyDescent="0.25">
      <c r="A26" s="470" t="s">
        <v>93</v>
      </c>
      <c r="B26" s="472">
        <v>300000</v>
      </c>
      <c r="C26" s="469" t="s">
        <v>565</v>
      </c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0"/>
      <c r="FF26" s="460"/>
      <c r="FG26" s="460"/>
      <c r="FH26" s="460"/>
      <c r="FI26" s="460"/>
      <c r="FJ26" s="460"/>
      <c r="FK26" s="460"/>
      <c r="FL26" s="460"/>
      <c r="FM26" s="460"/>
      <c r="FN26" s="460"/>
      <c r="FO26" s="460"/>
      <c r="FP26" s="460"/>
      <c r="FQ26" s="460"/>
      <c r="FR26" s="460"/>
      <c r="FS26" s="460"/>
      <c r="FT26" s="460"/>
      <c r="FU26" s="460"/>
      <c r="FV26" s="460"/>
      <c r="FW26" s="460"/>
      <c r="FX26" s="460"/>
      <c r="FY26" s="460"/>
      <c r="FZ26" s="460"/>
      <c r="GA26" s="460"/>
      <c r="GB26" s="460"/>
      <c r="GC26" s="460"/>
      <c r="GD26" s="460"/>
      <c r="GE26" s="460"/>
      <c r="GF26" s="460"/>
      <c r="GG26" s="460"/>
      <c r="GH26" s="460"/>
      <c r="GI26" s="460"/>
      <c r="GJ26" s="460"/>
      <c r="GK26" s="460"/>
      <c r="GL26" s="460"/>
      <c r="GM26" s="460"/>
      <c r="GN26" s="460"/>
      <c r="GO26" s="460"/>
      <c r="GP26" s="460"/>
      <c r="GQ26" s="460"/>
      <c r="GR26" s="460"/>
      <c r="GS26" s="460"/>
      <c r="GT26" s="460"/>
      <c r="GU26" s="460"/>
      <c r="GV26" s="460"/>
      <c r="GW26" s="460"/>
      <c r="GX26" s="460"/>
    </row>
    <row r="27" spans="1:206" x14ac:dyDescent="0.25">
      <c r="A27" s="470" t="s">
        <v>94</v>
      </c>
      <c r="B27" s="471"/>
      <c r="C27" s="46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0"/>
      <c r="FF27" s="460"/>
      <c r="FG27" s="460"/>
      <c r="FH27" s="460"/>
      <c r="FI27" s="460"/>
      <c r="FJ27" s="460"/>
      <c r="FK27" s="460"/>
      <c r="FL27" s="460"/>
      <c r="FM27" s="460"/>
      <c r="FN27" s="460"/>
      <c r="FO27" s="460"/>
      <c r="FP27" s="460"/>
      <c r="FQ27" s="460"/>
      <c r="FR27" s="460"/>
      <c r="FS27" s="460"/>
      <c r="FT27" s="460"/>
      <c r="FU27" s="460"/>
      <c r="FV27" s="460"/>
      <c r="FW27" s="460"/>
      <c r="FX27" s="460"/>
      <c r="FY27" s="460"/>
      <c r="FZ27" s="460"/>
      <c r="GA27" s="460"/>
      <c r="GB27" s="460"/>
      <c r="GC27" s="460"/>
      <c r="GD27" s="460"/>
      <c r="GE27" s="460"/>
      <c r="GF27" s="460"/>
      <c r="GG27" s="460"/>
      <c r="GH27" s="460"/>
      <c r="GI27" s="460"/>
      <c r="GJ27" s="460"/>
      <c r="GK27" s="460"/>
      <c r="GL27" s="460"/>
      <c r="GM27" s="460"/>
      <c r="GN27" s="460"/>
      <c r="GO27" s="460"/>
      <c r="GP27" s="460"/>
      <c r="GQ27" s="460"/>
      <c r="GR27" s="460"/>
      <c r="GS27" s="460"/>
      <c r="GT27" s="460"/>
      <c r="GU27" s="460"/>
      <c r="GV27" s="460"/>
      <c r="GW27" s="460"/>
      <c r="GX27" s="460"/>
    </row>
    <row r="28" spans="1:206" x14ac:dyDescent="0.25">
      <c r="A28" s="470" t="s">
        <v>95</v>
      </c>
      <c r="B28" s="471"/>
      <c r="C28" s="469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460"/>
      <c r="FL28" s="460"/>
      <c r="FM28" s="460"/>
      <c r="FN28" s="460"/>
      <c r="FO28" s="460"/>
      <c r="FP28" s="460"/>
      <c r="FQ28" s="460"/>
      <c r="FR28" s="460"/>
      <c r="FS28" s="460"/>
      <c r="FT28" s="460"/>
      <c r="FU28" s="460"/>
      <c r="FV28" s="460"/>
      <c r="FW28" s="460"/>
      <c r="FX28" s="460"/>
      <c r="FY28" s="460"/>
      <c r="FZ28" s="460"/>
      <c r="GA28" s="460"/>
      <c r="GB28" s="460"/>
      <c r="GC28" s="460"/>
      <c r="GD28" s="460"/>
      <c r="GE28" s="460"/>
      <c r="GF28" s="460"/>
      <c r="GG28" s="460"/>
      <c r="GH28" s="460"/>
      <c r="GI28" s="460"/>
      <c r="GJ28" s="460"/>
      <c r="GK28" s="460"/>
      <c r="GL28" s="460"/>
      <c r="GM28" s="460"/>
      <c r="GN28" s="460"/>
      <c r="GO28" s="460"/>
      <c r="GP28" s="460"/>
      <c r="GQ28" s="460"/>
      <c r="GR28" s="460"/>
      <c r="GS28" s="460"/>
      <c r="GT28" s="460"/>
      <c r="GU28" s="460"/>
      <c r="GV28" s="460"/>
      <c r="GW28" s="460"/>
      <c r="GX28" s="460"/>
    </row>
    <row r="29" spans="1:206" x14ac:dyDescent="0.25">
      <c r="A29" s="470" t="s">
        <v>96</v>
      </c>
      <c r="B29" s="471"/>
      <c r="C29" s="469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0"/>
      <c r="FL29" s="460"/>
      <c r="FM29" s="460"/>
      <c r="FN29" s="460"/>
      <c r="FO29" s="460"/>
      <c r="FP29" s="460"/>
      <c r="FQ29" s="460"/>
      <c r="FR29" s="460"/>
      <c r="FS29" s="460"/>
      <c r="FT29" s="460"/>
      <c r="FU29" s="460"/>
      <c r="FV29" s="460"/>
      <c r="FW29" s="460"/>
      <c r="FX29" s="460"/>
      <c r="FY29" s="460"/>
      <c r="FZ29" s="460"/>
      <c r="GA29" s="460"/>
      <c r="GB29" s="460"/>
      <c r="GC29" s="460"/>
      <c r="GD29" s="460"/>
      <c r="GE29" s="460"/>
      <c r="GF29" s="460"/>
      <c r="GG29" s="460"/>
      <c r="GH29" s="460"/>
      <c r="GI29" s="460"/>
      <c r="GJ29" s="460"/>
      <c r="GK29" s="460"/>
      <c r="GL29" s="460"/>
      <c r="GM29" s="460"/>
      <c r="GN29" s="460"/>
      <c r="GO29" s="460"/>
      <c r="GP29" s="460"/>
      <c r="GQ29" s="460"/>
      <c r="GR29" s="460"/>
      <c r="GS29" s="460"/>
      <c r="GT29" s="460"/>
      <c r="GU29" s="460"/>
      <c r="GV29" s="460"/>
      <c r="GW29" s="460"/>
      <c r="GX29" s="460"/>
    </row>
    <row r="30" spans="1:206" x14ac:dyDescent="0.25">
      <c r="A30" s="205" t="s">
        <v>97</v>
      </c>
      <c r="B30" s="471"/>
      <c r="C30" s="469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</row>
    <row r="31" spans="1:206" x14ac:dyDescent="0.25">
      <c r="A31" s="474" t="s">
        <v>1</v>
      </c>
      <c r="B31" s="475">
        <v>7308000</v>
      </c>
      <c r="C31" s="476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0"/>
      <c r="FL31" s="460"/>
      <c r="FM31" s="460"/>
      <c r="FN31" s="460"/>
      <c r="FO31" s="460"/>
      <c r="FP31" s="460"/>
      <c r="FQ31" s="460"/>
      <c r="FR31" s="460"/>
      <c r="FS31" s="460"/>
      <c r="FT31" s="460"/>
      <c r="FU31" s="460"/>
      <c r="FV31" s="460"/>
      <c r="FW31" s="460"/>
      <c r="FX31" s="460"/>
      <c r="FY31" s="460"/>
      <c r="FZ31" s="460"/>
      <c r="GA31" s="460"/>
      <c r="GB31" s="460"/>
      <c r="GC31" s="460"/>
      <c r="GD31" s="460"/>
      <c r="GE31" s="460"/>
      <c r="GF31" s="460"/>
      <c r="GG31" s="460"/>
      <c r="GH31" s="460"/>
      <c r="GI31" s="460"/>
      <c r="GJ31" s="460"/>
      <c r="GK31" s="460"/>
      <c r="GL31" s="460"/>
      <c r="GM31" s="460"/>
      <c r="GN31" s="460"/>
      <c r="GO31" s="460"/>
      <c r="GP31" s="460"/>
      <c r="GQ31" s="460"/>
      <c r="GR31" s="460"/>
      <c r="GS31" s="460"/>
      <c r="GT31" s="460"/>
      <c r="GU31" s="460"/>
      <c r="GV31" s="460"/>
      <c r="GW31" s="460"/>
      <c r="GX31" s="460"/>
    </row>
    <row r="32" spans="1:206" ht="30" x14ac:dyDescent="0.25">
      <c r="A32" s="10" t="s">
        <v>566</v>
      </c>
      <c r="B32" s="479">
        <v>1000000</v>
      </c>
      <c r="C32" s="477" t="s">
        <v>567</v>
      </c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460"/>
      <c r="FL32" s="460"/>
      <c r="FM32" s="460"/>
      <c r="FN32" s="460"/>
      <c r="FO32" s="460"/>
      <c r="FP32" s="460"/>
      <c r="FQ32" s="460"/>
      <c r="FR32" s="460"/>
      <c r="FS32" s="460"/>
      <c r="FT32" s="460"/>
      <c r="FU32" s="460"/>
      <c r="FV32" s="460"/>
      <c r="FW32" s="460"/>
      <c r="FX32" s="460"/>
      <c r="FY32" s="460"/>
      <c r="FZ32" s="460"/>
      <c r="GA32" s="460"/>
      <c r="GB32" s="460"/>
      <c r="GC32" s="460"/>
      <c r="GD32" s="460"/>
      <c r="GE32" s="460"/>
      <c r="GF32" s="460"/>
      <c r="GG32" s="460"/>
      <c r="GH32" s="460"/>
      <c r="GI32" s="460"/>
      <c r="GJ32" s="460"/>
      <c r="GK32" s="460"/>
      <c r="GL32" s="460"/>
      <c r="GM32" s="460"/>
      <c r="GN32" s="460"/>
      <c r="GO32" s="460"/>
      <c r="GP32" s="460"/>
      <c r="GQ32" s="460"/>
      <c r="GR32" s="460"/>
      <c r="GS32" s="460"/>
      <c r="GT32" s="460"/>
      <c r="GU32" s="460"/>
      <c r="GV32" s="460"/>
      <c r="GW32" s="460"/>
      <c r="GX32" s="460"/>
    </row>
    <row r="33" spans="1:206" x14ac:dyDescent="0.25">
      <c r="A33" s="10" t="s">
        <v>26</v>
      </c>
      <c r="B33" s="479">
        <v>500000</v>
      </c>
      <c r="C33" s="478" t="s">
        <v>568</v>
      </c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460"/>
      <c r="FL33" s="460"/>
      <c r="FM33" s="460"/>
      <c r="FN33" s="460"/>
      <c r="FO33" s="460"/>
      <c r="FP33" s="460"/>
      <c r="FQ33" s="460"/>
      <c r="FR33" s="460"/>
      <c r="FS33" s="460"/>
      <c r="FT33" s="460"/>
      <c r="FU33" s="460"/>
      <c r="FV33" s="460"/>
      <c r="FW33" s="460"/>
      <c r="FX33" s="460"/>
      <c r="FY33" s="460"/>
      <c r="FZ33" s="460"/>
      <c r="GA33" s="460"/>
      <c r="GB33" s="460"/>
      <c r="GC33" s="460"/>
      <c r="GD33" s="460"/>
      <c r="GE33" s="460"/>
      <c r="GF33" s="460"/>
      <c r="GG33" s="460"/>
      <c r="GH33" s="460"/>
      <c r="GI33" s="460"/>
      <c r="GJ33" s="460"/>
      <c r="GK33" s="460"/>
      <c r="GL33" s="460"/>
      <c r="GM33" s="460"/>
      <c r="GN33" s="460"/>
      <c r="GO33" s="460"/>
      <c r="GP33" s="460"/>
      <c r="GQ33" s="460"/>
      <c r="GR33" s="460"/>
      <c r="GS33" s="460"/>
      <c r="GT33" s="460"/>
      <c r="GU33" s="460"/>
      <c r="GV33" s="460"/>
      <c r="GW33" s="460"/>
      <c r="GX33" s="460"/>
    </row>
    <row r="34" spans="1:206" x14ac:dyDescent="0.25">
      <c r="A34" s="3"/>
      <c r="B34" s="462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</row>
    <row r="35" spans="1:206" x14ac:dyDescent="0.25">
      <c r="A35" s="3"/>
      <c r="B35" s="462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0"/>
      <c r="FF35" s="460"/>
      <c r="FG35" s="460"/>
      <c r="FH35" s="460"/>
      <c r="FI35" s="460"/>
      <c r="FJ35" s="460"/>
      <c r="FK35" s="460"/>
      <c r="FL35" s="460"/>
      <c r="FM35" s="460"/>
      <c r="FN35" s="460"/>
      <c r="FO35" s="460"/>
      <c r="FP35" s="460"/>
      <c r="FQ35" s="460"/>
      <c r="FR35" s="460"/>
      <c r="FS35" s="460"/>
      <c r="FT35" s="460"/>
      <c r="FU35" s="460"/>
      <c r="FV35" s="460"/>
      <c r="FW35" s="460"/>
      <c r="FX35" s="460"/>
      <c r="FY35" s="460"/>
      <c r="FZ35" s="460"/>
      <c r="GA35" s="460"/>
      <c r="GB35" s="460"/>
      <c r="GC35" s="460"/>
      <c r="GD35" s="460"/>
      <c r="GE35" s="460"/>
      <c r="GF35" s="460"/>
      <c r="GG35" s="460"/>
      <c r="GH35" s="460"/>
      <c r="GI35" s="460"/>
      <c r="GJ35" s="460"/>
      <c r="GK35" s="460"/>
      <c r="GL35" s="460"/>
      <c r="GM35" s="460"/>
      <c r="GN35" s="460"/>
      <c r="GO35" s="460"/>
      <c r="GP35" s="460"/>
      <c r="GQ35" s="460"/>
      <c r="GR35" s="460"/>
      <c r="GS35" s="460"/>
      <c r="GT35" s="460"/>
      <c r="GU35" s="460"/>
      <c r="GV35" s="460"/>
      <c r="GW35" s="460"/>
      <c r="GX35" s="460"/>
    </row>
    <row r="36" spans="1:206" x14ac:dyDescent="0.25">
      <c r="A36" s="3"/>
      <c r="B36" s="463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  <c r="FL36" s="460"/>
      <c r="FM36" s="460"/>
      <c r="FN36" s="460"/>
      <c r="FO36" s="460"/>
      <c r="FP36" s="460"/>
      <c r="FQ36" s="460"/>
      <c r="FR36" s="460"/>
      <c r="FS36" s="460"/>
      <c r="FT36" s="460"/>
      <c r="FU36" s="460"/>
      <c r="FV36" s="460"/>
      <c r="FW36" s="460"/>
      <c r="FX36" s="460"/>
      <c r="FY36" s="460"/>
      <c r="FZ36" s="460"/>
      <c r="GA36" s="460"/>
      <c r="GB36" s="460"/>
      <c r="GC36" s="460"/>
      <c r="GD36" s="460"/>
      <c r="GE36" s="460"/>
      <c r="GF36" s="460"/>
      <c r="GG36" s="460"/>
      <c r="GH36" s="460"/>
      <c r="GI36" s="460"/>
      <c r="GJ36" s="460"/>
      <c r="GK36" s="460"/>
      <c r="GL36" s="460"/>
      <c r="GM36" s="460"/>
      <c r="GN36" s="460"/>
      <c r="GO36" s="460"/>
      <c r="GP36" s="460"/>
      <c r="GQ36" s="460"/>
      <c r="GR36" s="460"/>
      <c r="GS36" s="460"/>
      <c r="GT36" s="460"/>
      <c r="GU36" s="460"/>
      <c r="GV36" s="460"/>
      <c r="GW36" s="460"/>
      <c r="GX36" s="460"/>
    </row>
    <row r="37" spans="1:206" x14ac:dyDescent="0.25">
      <c r="A37" s="3"/>
      <c r="B37" s="462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  <c r="FL37" s="460"/>
      <c r="FM37" s="460"/>
      <c r="FN37" s="460"/>
      <c r="FO37" s="460"/>
      <c r="FP37" s="460"/>
      <c r="FQ37" s="460"/>
      <c r="FR37" s="460"/>
      <c r="FS37" s="460"/>
      <c r="FT37" s="460"/>
      <c r="FU37" s="460"/>
      <c r="FV37" s="460"/>
      <c r="FW37" s="460"/>
      <c r="FX37" s="460"/>
      <c r="FY37" s="460"/>
      <c r="FZ37" s="460"/>
      <c r="GA37" s="460"/>
      <c r="GB37" s="460"/>
      <c r="GC37" s="460"/>
      <c r="GD37" s="460"/>
      <c r="GE37" s="460"/>
      <c r="GF37" s="460"/>
      <c r="GG37" s="460"/>
      <c r="GH37" s="460"/>
      <c r="GI37" s="460"/>
      <c r="GJ37" s="460"/>
      <c r="GK37" s="460"/>
      <c r="GL37" s="460"/>
      <c r="GM37" s="460"/>
      <c r="GN37" s="460"/>
      <c r="GO37" s="460"/>
      <c r="GP37" s="460"/>
      <c r="GQ37" s="460"/>
      <c r="GR37" s="460"/>
      <c r="GS37" s="460"/>
      <c r="GT37" s="460"/>
      <c r="GU37" s="460"/>
      <c r="GV37" s="460"/>
      <c r="GW37" s="460"/>
      <c r="GX37" s="460"/>
    </row>
    <row r="38" spans="1:206" x14ac:dyDescent="0.25">
      <c r="A38" s="3"/>
      <c r="B38" s="462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0"/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0"/>
      <c r="FF38" s="460"/>
      <c r="FG38" s="460"/>
      <c r="FH38" s="460"/>
      <c r="FI38" s="460"/>
      <c r="FJ38" s="460"/>
      <c r="FK38" s="460"/>
      <c r="FL38" s="460"/>
      <c r="FM38" s="460"/>
      <c r="FN38" s="460"/>
      <c r="FO38" s="460"/>
      <c r="FP38" s="460"/>
      <c r="FQ38" s="460"/>
      <c r="FR38" s="460"/>
      <c r="FS38" s="460"/>
      <c r="FT38" s="460"/>
      <c r="FU38" s="460"/>
      <c r="FV38" s="460"/>
      <c r="FW38" s="460"/>
      <c r="FX38" s="460"/>
      <c r="FY38" s="460"/>
      <c r="FZ38" s="460"/>
      <c r="GA38" s="460"/>
      <c r="GB38" s="460"/>
      <c r="GC38" s="460"/>
      <c r="GD38" s="460"/>
      <c r="GE38" s="460"/>
      <c r="GF38" s="460"/>
      <c r="GG38" s="460"/>
      <c r="GH38" s="460"/>
      <c r="GI38" s="460"/>
      <c r="GJ38" s="460"/>
      <c r="GK38" s="460"/>
      <c r="GL38" s="460"/>
      <c r="GM38" s="460"/>
      <c r="GN38" s="460"/>
      <c r="GO38" s="460"/>
      <c r="GP38" s="460"/>
      <c r="GQ38" s="460"/>
      <c r="GR38" s="460"/>
      <c r="GS38" s="460"/>
      <c r="GT38" s="460"/>
      <c r="GU38" s="460"/>
      <c r="GV38" s="460"/>
      <c r="GW38" s="460"/>
      <c r="GX38" s="460"/>
    </row>
    <row r="39" spans="1:206" x14ac:dyDescent="0.25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F39" s="460"/>
      <c r="FG39" s="460"/>
      <c r="FH39" s="460"/>
      <c r="FI39" s="460"/>
      <c r="FJ39" s="460"/>
      <c r="FK39" s="460"/>
      <c r="FL39" s="460"/>
      <c r="FM39" s="460"/>
      <c r="FN39" s="460"/>
      <c r="FO39" s="460"/>
      <c r="FP39" s="460"/>
      <c r="FQ39" s="460"/>
      <c r="FR39" s="460"/>
      <c r="FS39" s="460"/>
      <c r="FT39" s="460"/>
      <c r="FU39" s="460"/>
      <c r="FV39" s="460"/>
      <c r="FW39" s="460"/>
      <c r="FX39" s="460"/>
      <c r="FY39" s="460"/>
      <c r="FZ39" s="460"/>
      <c r="GA39" s="460"/>
      <c r="GB39" s="460"/>
      <c r="GC39" s="460"/>
      <c r="GD39" s="460"/>
      <c r="GE39" s="460"/>
      <c r="GF39" s="460"/>
      <c r="GG39" s="460"/>
      <c r="GH39" s="460"/>
      <c r="GI39" s="460"/>
      <c r="GJ39" s="460"/>
      <c r="GK39" s="460"/>
      <c r="GL39" s="460"/>
      <c r="GM39" s="460"/>
      <c r="GN39" s="460"/>
      <c r="GO39" s="460"/>
      <c r="GP39" s="460"/>
      <c r="GQ39" s="460"/>
      <c r="GR39" s="460"/>
      <c r="GS39" s="460"/>
      <c r="GT39" s="460"/>
      <c r="GU39" s="460"/>
      <c r="GV39" s="460"/>
      <c r="GW39" s="460"/>
      <c r="GX39" s="460"/>
    </row>
    <row r="40" spans="1:206" x14ac:dyDescent="0.25">
      <c r="A40" s="460"/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460"/>
      <c r="DO40" s="460"/>
      <c r="DP40" s="460"/>
      <c r="DQ40" s="460"/>
      <c r="DR40" s="460"/>
      <c r="DS40" s="460"/>
      <c r="DT40" s="460"/>
      <c r="DU40" s="460"/>
      <c r="DV40" s="460"/>
      <c r="DW40" s="460"/>
      <c r="DX40" s="460"/>
      <c r="DY40" s="460"/>
      <c r="DZ40" s="460"/>
      <c r="EA40" s="460"/>
      <c r="EB40" s="460"/>
      <c r="EC40" s="460"/>
      <c r="ED40" s="460"/>
      <c r="EE40" s="460"/>
      <c r="EF40" s="460"/>
      <c r="EG40" s="460"/>
      <c r="EH40" s="460"/>
      <c r="EI40" s="460"/>
      <c r="EJ40" s="460"/>
      <c r="EK40" s="460"/>
      <c r="EL40" s="460"/>
      <c r="EM40" s="460"/>
      <c r="EN40" s="460"/>
      <c r="EO40" s="460"/>
      <c r="EP40" s="460"/>
      <c r="EQ40" s="460"/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0"/>
      <c r="FF40" s="460"/>
      <c r="FG40" s="460"/>
      <c r="FH40" s="460"/>
      <c r="FI40" s="460"/>
      <c r="FJ40" s="460"/>
      <c r="FK40" s="460"/>
      <c r="FL40" s="460"/>
      <c r="FM40" s="460"/>
      <c r="FN40" s="460"/>
      <c r="FO40" s="460"/>
      <c r="FP40" s="460"/>
      <c r="FQ40" s="460"/>
      <c r="FR40" s="460"/>
      <c r="FS40" s="460"/>
      <c r="FT40" s="460"/>
      <c r="FU40" s="460"/>
      <c r="FV40" s="460"/>
      <c r="FW40" s="460"/>
      <c r="FX40" s="460"/>
      <c r="FY40" s="460"/>
      <c r="FZ40" s="460"/>
      <c r="GA40" s="460"/>
      <c r="GB40" s="460"/>
      <c r="GC40" s="460"/>
      <c r="GD40" s="460"/>
      <c r="GE40" s="460"/>
      <c r="GF40" s="460"/>
      <c r="GG40" s="460"/>
      <c r="GH40" s="460"/>
      <c r="GI40" s="460"/>
      <c r="GJ40" s="460"/>
      <c r="GK40" s="460"/>
      <c r="GL40" s="460"/>
      <c r="GM40" s="460"/>
      <c r="GN40" s="460"/>
      <c r="GO40" s="460"/>
      <c r="GP40" s="460"/>
      <c r="GQ40" s="460"/>
      <c r="GR40" s="460"/>
      <c r="GS40" s="460"/>
      <c r="GT40" s="460"/>
      <c r="GU40" s="460"/>
      <c r="GV40" s="460"/>
      <c r="GW40" s="460"/>
      <c r="GX40" s="460"/>
    </row>
    <row r="41" spans="1:206" x14ac:dyDescent="0.25">
      <c r="A41" s="460"/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460"/>
      <c r="FL41" s="460"/>
      <c r="FM41" s="460"/>
      <c r="FN41" s="460"/>
      <c r="FO41" s="460"/>
      <c r="FP41" s="460"/>
      <c r="FQ41" s="460"/>
      <c r="FR41" s="460"/>
      <c r="FS41" s="460"/>
      <c r="FT41" s="460"/>
      <c r="FU41" s="460"/>
      <c r="FV41" s="460"/>
      <c r="FW41" s="460"/>
      <c r="FX41" s="460"/>
      <c r="FY41" s="460"/>
      <c r="FZ41" s="460"/>
      <c r="GA41" s="460"/>
      <c r="GB41" s="460"/>
      <c r="GC41" s="460"/>
      <c r="GD41" s="460"/>
      <c r="GE41" s="460"/>
      <c r="GF41" s="460"/>
      <c r="GG41" s="460"/>
      <c r="GH41" s="460"/>
      <c r="GI41" s="460"/>
      <c r="GJ41" s="460"/>
      <c r="GK41" s="460"/>
      <c r="GL41" s="460"/>
      <c r="GM41" s="460"/>
      <c r="GN41" s="460"/>
      <c r="GO41" s="460"/>
      <c r="GP41" s="460"/>
      <c r="GQ41" s="460"/>
      <c r="GR41" s="460"/>
      <c r="GS41" s="460"/>
      <c r="GT41" s="460"/>
      <c r="GU41" s="460"/>
      <c r="GV41" s="460"/>
      <c r="GW41" s="460"/>
      <c r="GX41" s="460"/>
    </row>
  </sheetData>
  <mergeCells count="7">
    <mergeCell ref="A5:C5"/>
    <mergeCell ref="C1:F1"/>
    <mergeCell ref="C2:F2"/>
    <mergeCell ref="C3:F3"/>
    <mergeCell ref="A7:A9"/>
    <mergeCell ref="B7:B9"/>
    <mergeCell ref="C7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17</vt:i4>
      </vt:variant>
    </vt:vector>
  </HeadingPairs>
  <TitlesOfParts>
    <vt:vector size="39" baseType="lpstr">
      <vt:lpstr>прил №1 доходы </vt:lpstr>
      <vt:lpstr>прил №2 оценка</vt:lpstr>
      <vt:lpstr>прил №3 межбюдж</vt:lpstr>
      <vt:lpstr>Прил №4 разд подр</vt:lpstr>
      <vt:lpstr>Прил №5 ВСРБМР</vt:lpstr>
      <vt:lpstr>прил №6 налоги</vt:lpstr>
      <vt:lpstr> прил №8 дот пос </vt:lpstr>
      <vt:lpstr>прил №9 субв перед полн</vt:lpstr>
      <vt:lpstr>Прил №10 субсид поселен</vt:lpstr>
      <vt:lpstr>прило №11 гор среда</vt:lpstr>
      <vt:lpstr>прил №12 вус</vt:lpstr>
      <vt:lpstr> Прил 13госстандарт</vt:lpstr>
      <vt:lpstr>прил 14 питание дети инва </vt:lpstr>
      <vt:lpstr>прил №15 питание 1-4кл</vt:lpstr>
      <vt:lpstr>Прил 16 кл рук</vt:lpstr>
      <vt:lpstr>Лист1</vt:lpstr>
      <vt:lpstr>прил №17 смета резерв</vt:lpstr>
      <vt:lpstr>прил №18 смета дор фонда</vt:lpstr>
      <vt:lpstr>прил №19 гот</vt:lpstr>
      <vt:lpstr>прил №20 МБУ ЦБ</vt:lpstr>
      <vt:lpstr>прил №21 внешк учрежд</vt:lpstr>
      <vt:lpstr>Прил №22 МБУ ЖКХ</vt:lpstr>
      <vt:lpstr>' Прил 13госстандарт'!Область_печати</vt:lpstr>
      <vt:lpstr>' прил №8 дот пос '!Область_печати</vt:lpstr>
      <vt:lpstr>'прил 14 питание дети инва '!Область_печати</vt:lpstr>
      <vt:lpstr>'Прил 16 кл рук'!Область_печати</vt:lpstr>
      <vt:lpstr>'прил №1 доходы '!Область_печати</vt:lpstr>
      <vt:lpstr>'прил №12 вус'!Область_печати</vt:lpstr>
      <vt:lpstr>'прил №15 питание 1-4кл'!Область_печати</vt:lpstr>
      <vt:lpstr>'прил №18 смета дор фонда'!Область_печати</vt:lpstr>
      <vt:lpstr>'прил №2 оценка'!Область_печати</vt:lpstr>
      <vt:lpstr>'прил №20 МБУ ЦБ'!Область_печати</vt:lpstr>
      <vt:lpstr>'прил №21 внешк учрежд'!Область_печати</vt:lpstr>
      <vt:lpstr>'прил №3 межбюдж'!Область_печати</vt:lpstr>
      <vt:lpstr>'Прил №4 разд подр'!Область_печати</vt:lpstr>
      <vt:lpstr>'Прил №5 ВСРБМР'!Область_печати</vt:lpstr>
      <vt:lpstr>'прил №6 налоги'!Область_печати</vt:lpstr>
      <vt:lpstr>'прил №9 субв перед полн'!Область_печати</vt:lpstr>
      <vt:lpstr>'прило №11 гор среда'!Область_печати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2021-12-28T13:32:26Z</dcterms:modified>
</cp:coreProperties>
</file>