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Шарип\Desktop\Проект бюджета на 2024год\"/>
    </mc:Choice>
  </mc:AlternateContent>
  <xr:revisionPtr revIDLastSave="0" documentId="13_ncr:1_{54EF3973-A7A4-4DC0-BAC5-EE0AFB46C7AF}" xr6:coauthVersionLast="47" xr6:coauthVersionMax="47" xr10:uidLastSave="{00000000-0000-0000-0000-000000000000}"/>
  <bookViews>
    <workbookView xWindow="-120" yWindow="-120" windowWidth="29040" windowHeight="15840" tabRatio="903" firstSheet="14" activeTab="21" xr2:uid="{00000000-000D-0000-FFFF-FFFF00000000}"/>
  </bookViews>
  <sheets>
    <sheet name="Доходы прил №1" sheetId="252" r:id="rId1"/>
    <sheet name="ВСРБМР прил №2" sheetId="237" r:id="rId2"/>
    <sheet name="расшифр 1 к №2" sheetId="270" r:id="rId3"/>
    <sheet name="РазПодр прил №3 " sheetId="239" r:id="rId4"/>
    <sheet name="межбюд тран.№4" sheetId="251" r:id="rId5"/>
    <sheet name="Муниц программа прил №6" sheetId="489" r:id="rId6"/>
    <sheet name="МБУ ЖКХ прил №7" sheetId="311" r:id="rId7"/>
    <sheet name="МБУ ЦБ прил №8" sheetId="376" r:id="rId8"/>
    <sheet name="МБУ внеш учр прил  №9" sheetId="381" r:id="rId9"/>
    <sheet name="Смета дох и расх по дор фон №10" sheetId="385" r:id="rId10"/>
    <sheet name="Публ. объяз №11" sheetId="253" r:id="rId11"/>
    <sheet name="смета резер №12" sheetId="261" r:id="rId12"/>
    <sheet name=" Гостандарт прил №13 " sheetId="211" r:id="rId13"/>
    <sheet name=" компенс части род плат №14" sheetId="513" r:id="rId14"/>
    <sheet name="Налоги посел №15" sheetId="247" r:id="rId15"/>
    <sheet name="Оценка прил №16" sheetId="317" r:id="rId16"/>
    <sheet name="Субв пос на перед полн прил №17" sheetId="299" r:id="rId17"/>
    <sheet name=" ВУС прил №18" sheetId="249" r:id="rId18"/>
    <sheet name="Дотация пос прил №19" sheetId="246" r:id="rId19"/>
    <sheet name=" классное руководство прил №20" sheetId="456" r:id="rId20"/>
    <sheet name="  пит уч на дом обуч прил №21" sheetId="451" r:id="rId21"/>
    <sheet name="Прил №22  Пит уча 1 4кл " sheetId="219" r:id="rId22"/>
  </sheets>
  <externalReferences>
    <externalReference r:id="rId23"/>
  </externalReferences>
  <definedNames>
    <definedName name="_xlnm._FilterDatabase" localSheetId="1" hidden="1">'ВСРБМР прил №2'!$A$7:$I$294</definedName>
    <definedName name="_xlnm._FilterDatabase" localSheetId="18" hidden="1">'Дотация пос прил №19'!$A$8:$GZ$8</definedName>
    <definedName name="_xlnm.Print_Area" localSheetId="20">'  пит уч на дом обуч прил №21'!$A$1:$E$44</definedName>
    <definedName name="_xlnm.Print_Area" localSheetId="17">' ВУС прил №18'!$A$1:$D$33</definedName>
    <definedName name="_xlnm.Print_Area" localSheetId="12">' Гостандарт прил №13 '!$A$1:$R$64</definedName>
    <definedName name="_xlnm.Print_Area" localSheetId="19">' классное руководство прил №20'!$A$1:$H$44</definedName>
    <definedName name="_xlnm.Print_Area" localSheetId="13">' компенс части род плат №14'!$A$1:$F$31</definedName>
    <definedName name="_xlnm.Print_Area" localSheetId="1">'ВСРБМР прил №2'!$A$1:$I$312</definedName>
    <definedName name="_xlnm.Print_Area" localSheetId="18">'Дотация пос прил №19'!$A$1:$D$29</definedName>
    <definedName name="_xlnm.Print_Area" localSheetId="0">'Доходы прил №1'!$A$2:$G$63</definedName>
    <definedName name="_xlnm.Print_Area" localSheetId="8">'МБУ внеш учр прил  №9'!$B$2:$C$43</definedName>
    <definedName name="_xlnm.Print_Area" localSheetId="6">'МБУ ЖКХ прил №7'!$A$1:$C$70</definedName>
    <definedName name="_xlnm.Print_Area" localSheetId="7">'МБУ ЦБ прил №8'!$A$1:$C$9</definedName>
    <definedName name="_xlnm.Print_Area" localSheetId="4">'межбюд тран.№4'!$A$1:$D$39</definedName>
    <definedName name="_xlnm.Print_Area" localSheetId="5">'Муниц программа прил №6'!$A$1:$J$294</definedName>
    <definedName name="_xlnm.Print_Area" localSheetId="14">'Налоги посел №15'!$A$2:$S$33</definedName>
    <definedName name="_xlnm.Print_Area" localSheetId="15">'Оценка прил №16'!$A$1:$D$60</definedName>
    <definedName name="_xlnm.Print_Area" localSheetId="21">'Прил №22  Пит уча 1 4кл '!$A$1:$F$42</definedName>
    <definedName name="_xlnm.Print_Area" localSheetId="10">'Публ. объяз №11'!$A$1:$E$18</definedName>
    <definedName name="_xlnm.Print_Area" localSheetId="3">'РазПодр прил №3 '!$A$1:$F$61</definedName>
    <definedName name="_xlnm.Print_Area" localSheetId="2">'расшифр 1 к №2'!$A$2:$I$72</definedName>
    <definedName name="_xlnm.Print_Area" localSheetId="9">'Смета дох и расх по дор фон №10'!$A$1:$I$19</definedName>
    <definedName name="_xlnm.Print_Area" localSheetId="16">'Субв пос на перед полн прил №17'!$A$1:$I$31</definedName>
  </definedNames>
  <calcPr calcId="191029" iterate="1"/>
</workbook>
</file>

<file path=xl/calcChain.xml><?xml version="1.0" encoding="utf-8"?>
<calcChain xmlns="http://schemas.openxmlformats.org/spreadsheetml/2006/main">
  <c r="D48" i="219" l="1"/>
  <c r="D39" i="219"/>
  <c r="E39" i="219" s="1"/>
  <c r="F39" i="219" s="1"/>
  <c r="C39" i="219"/>
  <c r="B39" i="219"/>
  <c r="D38" i="219"/>
  <c r="E38" i="219" s="1"/>
  <c r="F38" i="219" s="1"/>
  <c r="C38" i="219"/>
  <c r="B38" i="219"/>
  <c r="E37" i="219"/>
  <c r="F37" i="219" s="1"/>
  <c r="D37" i="219"/>
  <c r="C37" i="219"/>
  <c r="B37" i="219"/>
  <c r="D36" i="219"/>
  <c r="E36" i="219" s="1"/>
  <c r="F36" i="219" s="1"/>
  <c r="C36" i="219"/>
  <c r="B36" i="219"/>
  <c r="E35" i="219"/>
  <c r="F35" i="219" s="1"/>
  <c r="D35" i="219"/>
  <c r="C35" i="219"/>
  <c r="B35" i="219"/>
  <c r="E34" i="219"/>
  <c r="F34" i="219" s="1"/>
  <c r="D34" i="219"/>
  <c r="C34" i="219"/>
  <c r="B34" i="219"/>
  <c r="E33" i="219"/>
  <c r="F33" i="219" s="1"/>
  <c r="D33" i="219"/>
  <c r="C33" i="219"/>
  <c r="B33" i="219"/>
  <c r="D32" i="219"/>
  <c r="E32" i="219" s="1"/>
  <c r="F32" i="219" s="1"/>
  <c r="C32" i="219"/>
  <c r="B32" i="219"/>
  <c r="E31" i="219"/>
  <c r="F31" i="219" s="1"/>
  <c r="D31" i="219"/>
  <c r="C31" i="219"/>
  <c r="B31" i="219"/>
  <c r="D30" i="219"/>
  <c r="E30" i="219" s="1"/>
  <c r="F30" i="219" s="1"/>
  <c r="C30" i="219"/>
  <c r="B30" i="219"/>
  <c r="D29" i="219"/>
  <c r="E29" i="219" s="1"/>
  <c r="F29" i="219" s="1"/>
  <c r="C29" i="219"/>
  <c r="B29" i="219"/>
  <c r="D28" i="219"/>
  <c r="E28" i="219" s="1"/>
  <c r="F28" i="219" s="1"/>
  <c r="C28" i="219"/>
  <c r="B28" i="219"/>
  <c r="D27" i="219"/>
  <c r="E27" i="219" s="1"/>
  <c r="F27" i="219" s="1"/>
  <c r="C27" i="219"/>
  <c r="B27" i="219"/>
  <c r="D26" i="219"/>
  <c r="E26" i="219" s="1"/>
  <c r="F26" i="219" s="1"/>
  <c r="C26" i="219"/>
  <c r="B26" i="219"/>
  <c r="E25" i="219"/>
  <c r="F25" i="219" s="1"/>
  <c r="D25" i="219"/>
  <c r="C25" i="219"/>
  <c r="B25" i="219"/>
  <c r="D24" i="219"/>
  <c r="E24" i="219" s="1"/>
  <c r="F24" i="219" s="1"/>
  <c r="C24" i="219"/>
  <c r="B24" i="219"/>
  <c r="E23" i="219"/>
  <c r="F23" i="219" s="1"/>
  <c r="D23" i="219"/>
  <c r="C23" i="219"/>
  <c r="B23" i="219"/>
  <c r="E22" i="219"/>
  <c r="F22" i="219" s="1"/>
  <c r="D22" i="219"/>
  <c r="C22" i="219"/>
  <c r="B22" i="219"/>
  <c r="E21" i="219"/>
  <c r="F21" i="219" s="1"/>
  <c r="D21" i="219"/>
  <c r="C21" i="219"/>
  <c r="B21" i="219"/>
  <c r="D20" i="219"/>
  <c r="E20" i="219" s="1"/>
  <c r="F20" i="219" s="1"/>
  <c r="C20" i="219"/>
  <c r="B20" i="219"/>
  <c r="E19" i="219"/>
  <c r="F19" i="219" s="1"/>
  <c r="D19" i="219"/>
  <c r="C19" i="219"/>
  <c r="B19" i="219"/>
  <c r="D18" i="219"/>
  <c r="E18" i="219" s="1"/>
  <c r="F18" i="219" s="1"/>
  <c r="C18" i="219"/>
  <c r="B18" i="219"/>
  <c r="D17" i="219"/>
  <c r="E17" i="219" s="1"/>
  <c r="F17" i="219" s="1"/>
  <c r="C17" i="219"/>
  <c r="B17" i="219"/>
  <c r="D16" i="219"/>
  <c r="E16" i="219" s="1"/>
  <c r="F16" i="219" s="1"/>
  <c r="C16" i="219"/>
  <c r="B16" i="219"/>
  <c r="D15" i="219"/>
  <c r="E15" i="219" s="1"/>
  <c r="F15" i="219" s="1"/>
  <c r="C15" i="219"/>
  <c r="B15" i="219"/>
  <c r="D14" i="219"/>
  <c r="E14" i="219" s="1"/>
  <c r="F14" i="219" s="1"/>
  <c r="C14" i="219"/>
  <c r="B14" i="219"/>
  <c r="E13" i="219"/>
  <c r="F13" i="219" s="1"/>
  <c r="D13" i="219"/>
  <c r="C13" i="219"/>
  <c r="B13" i="219"/>
  <c r="D12" i="219"/>
  <c r="E12" i="219" s="1"/>
  <c r="F12" i="219" s="1"/>
  <c r="C12" i="219"/>
  <c r="B12" i="219"/>
  <c r="E11" i="219"/>
  <c r="F11" i="219" s="1"/>
  <c r="D11" i="219"/>
  <c r="C11" i="219"/>
  <c r="C40" i="219" s="1"/>
  <c r="B11" i="219"/>
  <c r="E10" i="219"/>
  <c r="F10" i="219" s="1"/>
  <c r="D10" i="219"/>
  <c r="C10" i="219"/>
  <c r="B10" i="219"/>
  <c r="E9" i="219"/>
  <c r="F9" i="219" s="1"/>
  <c r="D9" i="219"/>
  <c r="D40" i="219" s="1"/>
  <c r="D49" i="219" s="1"/>
  <c r="D50" i="219" s="1"/>
  <c r="C9" i="219"/>
  <c r="B9" i="219"/>
  <c r="C51" i="451"/>
  <c r="C42" i="451"/>
  <c r="D42" i="451" s="1"/>
  <c r="E42" i="451" s="1"/>
  <c r="C41" i="451"/>
  <c r="D41" i="451" s="1"/>
  <c r="E41" i="451" s="1"/>
  <c r="C40" i="451"/>
  <c r="D40" i="451" s="1"/>
  <c r="E40" i="451" s="1"/>
  <c r="C39" i="451"/>
  <c r="D39" i="451" s="1"/>
  <c r="E39" i="451" s="1"/>
  <c r="C38" i="451"/>
  <c r="D38" i="451" s="1"/>
  <c r="E38" i="451" s="1"/>
  <c r="C37" i="451"/>
  <c r="D37" i="451" s="1"/>
  <c r="E37" i="451" s="1"/>
  <c r="C36" i="451"/>
  <c r="D36" i="451" s="1"/>
  <c r="E36" i="451" s="1"/>
  <c r="C35" i="451"/>
  <c r="D35" i="451" s="1"/>
  <c r="E35" i="451" s="1"/>
  <c r="C34" i="451"/>
  <c r="D34" i="451" s="1"/>
  <c r="E34" i="451" s="1"/>
  <c r="C33" i="451"/>
  <c r="D33" i="451" s="1"/>
  <c r="E33" i="451" s="1"/>
  <c r="C32" i="451"/>
  <c r="D32" i="451" s="1"/>
  <c r="E32" i="451" s="1"/>
  <c r="C31" i="451"/>
  <c r="D31" i="451" s="1"/>
  <c r="E31" i="451" s="1"/>
  <c r="C30" i="451"/>
  <c r="D30" i="451" s="1"/>
  <c r="E30" i="451" s="1"/>
  <c r="C29" i="451"/>
  <c r="D29" i="451" s="1"/>
  <c r="E29" i="451" s="1"/>
  <c r="C28" i="451"/>
  <c r="D28" i="451" s="1"/>
  <c r="E28" i="451" s="1"/>
  <c r="C27" i="451"/>
  <c r="D27" i="451" s="1"/>
  <c r="E27" i="451" s="1"/>
  <c r="C26" i="451"/>
  <c r="D26" i="451" s="1"/>
  <c r="E26" i="451" s="1"/>
  <c r="C25" i="451"/>
  <c r="D25" i="451" s="1"/>
  <c r="E25" i="451" s="1"/>
  <c r="C24" i="451"/>
  <c r="D24" i="451" s="1"/>
  <c r="E24" i="451" s="1"/>
  <c r="C23" i="451"/>
  <c r="D23" i="451" s="1"/>
  <c r="E23" i="451" s="1"/>
  <c r="C22" i="451"/>
  <c r="D22" i="451" s="1"/>
  <c r="E22" i="451" s="1"/>
  <c r="C21" i="451"/>
  <c r="D21" i="451" s="1"/>
  <c r="E21" i="451" s="1"/>
  <c r="C20" i="451"/>
  <c r="D20" i="451" s="1"/>
  <c r="E20" i="451" s="1"/>
  <c r="C19" i="451"/>
  <c r="D19" i="451" s="1"/>
  <c r="E19" i="451" s="1"/>
  <c r="C18" i="451"/>
  <c r="D18" i="451" s="1"/>
  <c r="E18" i="451" s="1"/>
  <c r="C17" i="451"/>
  <c r="D17" i="451" s="1"/>
  <c r="E17" i="451" s="1"/>
  <c r="C16" i="451"/>
  <c r="D16" i="451" s="1"/>
  <c r="E16" i="451" s="1"/>
  <c r="C15" i="451"/>
  <c r="D15" i="451" s="1"/>
  <c r="E15" i="451" s="1"/>
  <c r="C14" i="451"/>
  <c r="D14" i="451" s="1"/>
  <c r="E14" i="451" s="1"/>
  <c r="C13" i="451"/>
  <c r="D13" i="451" s="1"/>
  <c r="E13" i="451" s="1"/>
  <c r="C12" i="451"/>
  <c r="D12" i="451" s="1"/>
  <c r="F41" i="456"/>
  <c r="E41" i="456"/>
  <c r="D41" i="456" s="1"/>
  <c r="C41" i="456"/>
  <c r="F40" i="456"/>
  <c r="F42" i="456" s="1"/>
  <c r="E40" i="456"/>
  <c r="D40" i="456" s="1"/>
  <c r="C40" i="456"/>
  <c r="F39" i="456"/>
  <c r="E39" i="456"/>
  <c r="D39" i="456" s="1"/>
  <c r="C39" i="456"/>
  <c r="J38" i="456"/>
  <c r="J39" i="456" s="1"/>
  <c r="F38" i="456"/>
  <c r="E38" i="456"/>
  <c r="D38" i="456" s="1"/>
  <c r="C38" i="456"/>
  <c r="J37" i="456"/>
  <c r="F37" i="456"/>
  <c r="E37" i="456"/>
  <c r="D37" i="456" s="1"/>
  <c r="C37" i="456"/>
  <c r="F36" i="456"/>
  <c r="E36" i="456"/>
  <c r="D36" i="456" s="1"/>
  <c r="C36" i="456"/>
  <c r="F35" i="456"/>
  <c r="E35" i="456"/>
  <c r="D35" i="456" s="1"/>
  <c r="C35" i="456"/>
  <c r="F34" i="456"/>
  <c r="E34" i="456"/>
  <c r="D34" i="456" s="1"/>
  <c r="C34" i="456"/>
  <c r="F33" i="456"/>
  <c r="E33" i="456"/>
  <c r="D33" i="456" s="1"/>
  <c r="C33" i="456"/>
  <c r="F32" i="456"/>
  <c r="E32" i="456"/>
  <c r="D32" i="456" s="1"/>
  <c r="C32" i="456"/>
  <c r="F31" i="456"/>
  <c r="E31" i="456"/>
  <c r="D31" i="456" s="1"/>
  <c r="C31" i="456"/>
  <c r="F30" i="456"/>
  <c r="E30" i="456"/>
  <c r="D30" i="456" s="1"/>
  <c r="C30" i="456"/>
  <c r="F29" i="456"/>
  <c r="E29" i="456"/>
  <c r="D29" i="456" s="1"/>
  <c r="C29" i="456"/>
  <c r="F28" i="456"/>
  <c r="E28" i="456"/>
  <c r="D28" i="456" s="1"/>
  <c r="C28" i="456"/>
  <c r="F27" i="456"/>
  <c r="E27" i="456"/>
  <c r="D27" i="456" s="1"/>
  <c r="C27" i="456"/>
  <c r="F26" i="456"/>
  <c r="E26" i="456"/>
  <c r="D26" i="456" s="1"/>
  <c r="C26" i="456"/>
  <c r="F25" i="456"/>
  <c r="E25" i="456"/>
  <c r="D25" i="456" s="1"/>
  <c r="C25" i="456"/>
  <c r="F24" i="456"/>
  <c r="E24" i="456"/>
  <c r="D24" i="456" s="1"/>
  <c r="C24" i="456"/>
  <c r="F23" i="456"/>
  <c r="E23" i="456"/>
  <c r="D23" i="456" s="1"/>
  <c r="C23" i="456"/>
  <c r="F22" i="456"/>
  <c r="E22" i="456"/>
  <c r="D22" i="456" s="1"/>
  <c r="C22" i="456"/>
  <c r="F21" i="456"/>
  <c r="E21" i="456"/>
  <c r="D21" i="456" s="1"/>
  <c r="C21" i="456"/>
  <c r="F20" i="456"/>
  <c r="E20" i="456"/>
  <c r="D20" i="456" s="1"/>
  <c r="C20" i="456"/>
  <c r="F19" i="456"/>
  <c r="E19" i="456"/>
  <c r="D19" i="456" s="1"/>
  <c r="C19" i="456"/>
  <c r="F18" i="456"/>
  <c r="E18" i="456"/>
  <c r="D18" i="456" s="1"/>
  <c r="C18" i="456"/>
  <c r="F17" i="456"/>
  <c r="E17" i="456"/>
  <c r="D17" i="456" s="1"/>
  <c r="C17" i="456"/>
  <c r="F16" i="456"/>
  <c r="E16" i="456"/>
  <c r="D16" i="456" s="1"/>
  <c r="C16" i="456"/>
  <c r="F15" i="456"/>
  <c r="E15" i="456"/>
  <c r="D15" i="456" s="1"/>
  <c r="C15" i="456"/>
  <c r="F14" i="456"/>
  <c r="E14" i="456"/>
  <c r="D14" i="456" s="1"/>
  <c r="C14" i="456"/>
  <c r="F13" i="456"/>
  <c r="E13" i="456"/>
  <c r="D13" i="456" s="1"/>
  <c r="C13" i="456"/>
  <c r="F12" i="456"/>
  <c r="E12" i="456"/>
  <c r="D12" i="456" s="1"/>
  <c r="C12" i="456"/>
  <c r="F11" i="456"/>
  <c r="E11" i="456"/>
  <c r="D11" i="456" s="1"/>
  <c r="C11" i="456"/>
  <c r="C42" i="456" s="1"/>
  <c r="B33" i="246"/>
  <c r="B32" i="246"/>
  <c r="B31" i="246"/>
  <c r="B27" i="246"/>
  <c r="B26" i="246"/>
  <c r="B25" i="246"/>
  <c r="B24" i="246"/>
  <c r="B23" i="246"/>
  <c r="B22" i="246"/>
  <c r="B21" i="246"/>
  <c r="B20" i="246"/>
  <c r="B19" i="246"/>
  <c r="B18" i="246"/>
  <c r="B17" i="246"/>
  <c r="B16" i="246"/>
  <c r="B15" i="246"/>
  <c r="B14" i="246"/>
  <c r="B13" i="246"/>
  <c r="B12" i="246"/>
  <c r="B11" i="246"/>
  <c r="B10" i="246"/>
  <c r="B9" i="246"/>
  <c r="B8" i="246"/>
  <c r="D34" i="249"/>
  <c r="C34" i="249"/>
  <c r="C35" i="249" s="1"/>
  <c r="B34" i="249"/>
  <c r="B35" i="249" s="1"/>
  <c r="D30" i="249"/>
  <c r="D35" i="249" s="1"/>
  <c r="C30" i="249"/>
  <c r="B30" i="249"/>
  <c r="G32" i="299"/>
  <c r="F32" i="299"/>
  <c r="E32" i="299"/>
  <c r="D32" i="299"/>
  <c r="C32" i="299"/>
  <c r="G29" i="299"/>
  <c r="F29" i="299"/>
  <c r="B29" i="299" s="1"/>
  <c r="H29" i="299" s="1"/>
  <c r="I29" i="299" s="1"/>
  <c r="E29" i="299"/>
  <c r="D29" i="299"/>
  <c r="C29" i="299"/>
  <c r="G28" i="299"/>
  <c r="B28" i="299" s="1"/>
  <c r="H28" i="299" s="1"/>
  <c r="I28" i="299" s="1"/>
  <c r="F28" i="299"/>
  <c r="E28" i="299"/>
  <c r="D28" i="299"/>
  <c r="C28" i="299"/>
  <c r="G27" i="299"/>
  <c r="F27" i="299"/>
  <c r="E27" i="299"/>
  <c r="D27" i="299"/>
  <c r="C27" i="299"/>
  <c r="B27" i="299" s="1"/>
  <c r="H27" i="299" s="1"/>
  <c r="I27" i="299" s="1"/>
  <c r="G26" i="299"/>
  <c r="F26" i="299"/>
  <c r="B26" i="299" s="1"/>
  <c r="H26" i="299" s="1"/>
  <c r="I26" i="299" s="1"/>
  <c r="E26" i="299"/>
  <c r="D26" i="299"/>
  <c r="C26" i="299"/>
  <c r="G25" i="299"/>
  <c r="B25" i="299" s="1"/>
  <c r="H25" i="299" s="1"/>
  <c r="I25" i="299" s="1"/>
  <c r="F25" i="299"/>
  <c r="E25" i="299"/>
  <c r="D25" i="299"/>
  <c r="C25" i="299"/>
  <c r="G24" i="299"/>
  <c r="F24" i="299"/>
  <c r="E24" i="299"/>
  <c r="D24" i="299"/>
  <c r="C24" i="299"/>
  <c r="B24" i="299" s="1"/>
  <c r="H24" i="299" s="1"/>
  <c r="I24" i="299" s="1"/>
  <c r="G23" i="299"/>
  <c r="F23" i="299"/>
  <c r="E23" i="299"/>
  <c r="B23" i="299" s="1"/>
  <c r="H23" i="299" s="1"/>
  <c r="I23" i="299" s="1"/>
  <c r="D23" i="299"/>
  <c r="C23" i="299"/>
  <c r="G22" i="299"/>
  <c r="B22" i="299" s="1"/>
  <c r="H22" i="299" s="1"/>
  <c r="I22" i="299" s="1"/>
  <c r="F22" i="299"/>
  <c r="E22" i="299"/>
  <c r="D22" i="299"/>
  <c r="C22" i="299"/>
  <c r="G21" i="299"/>
  <c r="F21" i="299"/>
  <c r="E21" i="299"/>
  <c r="D21" i="299"/>
  <c r="C21" i="299"/>
  <c r="B21" i="299" s="1"/>
  <c r="H21" i="299" s="1"/>
  <c r="I21" i="299" s="1"/>
  <c r="G20" i="299"/>
  <c r="F20" i="299"/>
  <c r="E20" i="299"/>
  <c r="B20" i="299" s="1"/>
  <c r="H20" i="299" s="1"/>
  <c r="I20" i="299" s="1"/>
  <c r="D20" i="299"/>
  <c r="C20" i="299"/>
  <c r="G19" i="299"/>
  <c r="B19" i="299" s="1"/>
  <c r="H19" i="299" s="1"/>
  <c r="I19" i="299" s="1"/>
  <c r="F19" i="299"/>
  <c r="E19" i="299"/>
  <c r="D19" i="299"/>
  <c r="C19" i="299"/>
  <c r="G18" i="299"/>
  <c r="F18" i="299"/>
  <c r="E18" i="299"/>
  <c r="D18" i="299"/>
  <c r="C18" i="299"/>
  <c r="B18" i="299" s="1"/>
  <c r="H18" i="299" s="1"/>
  <c r="I18" i="299" s="1"/>
  <c r="G17" i="299"/>
  <c r="F17" i="299"/>
  <c r="E17" i="299"/>
  <c r="B17" i="299" s="1"/>
  <c r="H17" i="299" s="1"/>
  <c r="I17" i="299" s="1"/>
  <c r="D17" i="299"/>
  <c r="C17" i="299"/>
  <c r="G16" i="299"/>
  <c r="B16" i="299" s="1"/>
  <c r="H16" i="299" s="1"/>
  <c r="I16" i="299" s="1"/>
  <c r="F16" i="299"/>
  <c r="E16" i="299"/>
  <c r="D16" i="299"/>
  <c r="C16" i="299"/>
  <c r="G15" i="299"/>
  <c r="F15" i="299"/>
  <c r="E15" i="299"/>
  <c r="D15" i="299"/>
  <c r="C15" i="299"/>
  <c r="B15" i="299" s="1"/>
  <c r="H15" i="299" s="1"/>
  <c r="I15" i="299" s="1"/>
  <c r="G14" i="299"/>
  <c r="F14" i="299"/>
  <c r="E14" i="299"/>
  <c r="B14" i="299" s="1"/>
  <c r="H14" i="299" s="1"/>
  <c r="I14" i="299" s="1"/>
  <c r="D14" i="299"/>
  <c r="C14" i="299"/>
  <c r="G13" i="299"/>
  <c r="B13" i="299" s="1"/>
  <c r="H13" i="299" s="1"/>
  <c r="I13" i="299" s="1"/>
  <c r="F13" i="299"/>
  <c r="E13" i="299"/>
  <c r="D13" i="299"/>
  <c r="C13" i="299"/>
  <c r="G12" i="299"/>
  <c r="F12" i="299"/>
  <c r="E12" i="299"/>
  <c r="C12" i="299"/>
  <c r="B12" i="299"/>
  <c r="H12" i="299" s="1"/>
  <c r="I12" i="299" s="1"/>
  <c r="G11" i="299"/>
  <c r="F11" i="299"/>
  <c r="E11" i="299"/>
  <c r="D11" i="299"/>
  <c r="B11" i="299" s="1"/>
  <c r="H11" i="299" s="1"/>
  <c r="I11" i="299" s="1"/>
  <c r="C11" i="299"/>
  <c r="G10" i="299"/>
  <c r="G30" i="299" s="1"/>
  <c r="F10" i="299"/>
  <c r="B10" i="299" s="1"/>
  <c r="E10" i="299"/>
  <c r="E30" i="299" s="1"/>
  <c r="D10" i="299"/>
  <c r="D30" i="299" s="1"/>
  <c r="C10" i="299"/>
  <c r="D57" i="317"/>
  <c r="C57" i="317"/>
  <c r="B57" i="317"/>
  <c r="D39" i="317"/>
  <c r="C39" i="317"/>
  <c r="B39" i="317"/>
  <c r="D35" i="317"/>
  <c r="C35" i="317"/>
  <c r="B35" i="317"/>
  <c r="D33" i="317"/>
  <c r="C33" i="317"/>
  <c r="B33" i="317"/>
  <c r="D30" i="317"/>
  <c r="C30" i="317"/>
  <c r="B30" i="317"/>
  <c r="D28" i="317"/>
  <c r="C28" i="317"/>
  <c r="B28" i="317"/>
  <c r="D26" i="317"/>
  <c r="C26" i="317"/>
  <c r="B26" i="317"/>
  <c r="D24" i="317"/>
  <c r="D23" i="317" s="1"/>
  <c r="C24" i="317"/>
  <c r="C23" i="317" s="1"/>
  <c r="B24" i="317"/>
  <c r="B23" i="317"/>
  <c r="D20" i="317"/>
  <c r="C20" i="317"/>
  <c r="B20" i="317"/>
  <c r="D17" i="317"/>
  <c r="C17" i="317"/>
  <c r="B17" i="317"/>
  <c r="D15" i="317"/>
  <c r="C15" i="317"/>
  <c r="B15" i="317"/>
  <c r="D12" i="317"/>
  <c r="C12" i="317"/>
  <c r="C9" i="317" s="1"/>
  <c r="C43" i="317" s="1"/>
  <c r="C58" i="317" s="1"/>
  <c r="C59" i="317" s="1"/>
  <c r="B12" i="317"/>
  <c r="D10" i="317"/>
  <c r="C10" i="317"/>
  <c r="B10" i="317"/>
  <c r="B9" i="317" s="1"/>
  <c r="B43" i="317" s="1"/>
  <c r="B58" i="317" s="1"/>
  <c r="B59" i="317" s="1"/>
  <c r="D9" i="317"/>
  <c r="N32" i="247"/>
  <c r="K32" i="247"/>
  <c r="H32" i="247"/>
  <c r="E32" i="247"/>
  <c r="B32" i="247"/>
  <c r="R31" i="247"/>
  <c r="Q31" i="247"/>
  <c r="O31" i="247"/>
  <c r="P31" i="247" s="1"/>
  <c r="S31" i="247" s="1"/>
  <c r="M31" i="247"/>
  <c r="L31" i="247"/>
  <c r="J31" i="247"/>
  <c r="I31" i="247"/>
  <c r="G31" i="247"/>
  <c r="F31" i="247"/>
  <c r="D31" i="247"/>
  <c r="C31" i="247"/>
  <c r="Q30" i="247"/>
  <c r="O30" i="247"/>
  <c r="P30" i="247" s="1"/>
  <c r="S30" i="247" s="1"/>
  <c r="M30" i="247"/>
  <c r="L30" i="247"/>
  <c r="J30" i="247"/>
  <c r="I30" i="247"/>
  <c r="R30" i="247" s="1"/>
  <c r="G30" i="247"/>
  <c r="F30" i="247"/>
  <c r="C30" i="247"/>
  <c r="D30" i="247" s="1"/>
  <c r="Q29" i="247"/>
  <c r="O29" i="247"/>
  <c r="R29" i="247" s="1"/>
  <c r="M29" i="247"/>
  <c r="L29" i="247"/>
  <c r="J29" i="247"/>
  <c r="I29" i="247"/>
  <c r="G29" i="247"/>
  <c r="F29" i="247"/>
  <c r="C29" i="247"/>
  <c r="D29" i="247" s="1"/>
  <c r="Q28" i="247"/>
  <c r="O28" i="247"/>
  <c r="P28" i="247" s="1"/>
  <c r="S28" i="247" s="1"/>
  <c r="M28" i="247"/>
  <c r="L28" i="247"/>
  <c r="J28" i="247"/>
  <c r="I28" i="247"/>
  <c r="G28" i="247"/>
  <c r="F28" i="247"/>
  <c r="D28" i="247"/>
  <c r="C28" i="247"/>
  <c r="Q27" i="247"/>
  <c r="P27" i="247"/>
  <c r="S27" i="247" s="1"/>
  <c r="O27" i="247"/>
  <c r="M27" i="247"/>
  <c r="L27" i="247"/>
  <c r="J27" i="247"/>
  <c r="I27" i="247"/>
  <c r="R27" i="247" s="1"/>
  <c r="G27" i="247"/>
  <c r="F27" i="247"/>
  <c r="D27" i="247"/>
  <c r="C27" i="247"/>
  <c r="Q26" i="247"/>
  <c r="O26" i="247"/>
  <c r="R26" i="247" s="1"/>
  <c r="M26" i="247"/>
  <c r="L26" i="247"/>
  <c r="J26" i="247"/>
  <c r="I26" i="247"/>
  <c r="G26" i="247"/>
  <c r="F26" i="247"/>
  <c r="C26" i="247"/>
  <c r="D26" i="247" s="1"/>
  <c r="R25" i="247"/>
  <c r="Q25" i="247"/>
  <c r="P25" i="247"/>
  <c r="O25" i="247"/>
  <c r="M25" i="247"/>
  <c r="L25" i="247"/>
  <c r="J25" i="247"/>
  <c r="I25" i="247"/>
  <c r="G25" i="247"/>
  <c r="F25" i="247"/>
  <c r="C25" i="247"/>
  <c r="D25" i="247" s="1"/>
  <c r="Q24" i="247"/>
  <c r="O24" i="247"/>
  <c r="R24" i="247" s="1"/>
  <c r="M24" i="247"/>
  <c r="L24" i="247"/>
  <c r="J24" i="247"/>
  <c r="I24" i="247"/>
  <c r="G24" i="247"/>
  <c r="F24" i="247"/>
  <c r="C24" i="247"/>
  <c r="D24" i="247" s="1"/>
  <c r="Q23" i="247"/>
  <c r="P23" i="247"/>
  <c r="S23" i="247" s="1"/>
  <c r="O23" i="247"/>
  <c r="M23" i="247"/>
  <c r="L23" i="247"/>
  <c r="R23" i="247" s="1"/>
  <c r="J23" i="247"/>
  <c r="I23" i="247"/>
  <c r="G23" i="247"/>
  <c r="F23" i="247"/>
  <c r="D23" i="247"/>
  <c r="C23" i="247"/>
  <c r="Q22" i="247"/>
  <c r="O22" i="247"/>
  <c r="R22" i="247" s="1"/>
  <c r="M22" i="247"/>
  <c r="L22" i="247"/>
  <c r="J22" i="247"/>
  <c r="I22" i="247"/>
  <c r="G22" i="247"/>
  <c r="F22" i="247"/>
  <c r="C22" i="247"/>
  <c r="D22" i="247" s="1"/>
  <c r="R21" i="247"/>
  <c r="Q21" i="247"/>
  <c r="O21" i="247"/>
  <c r="P21" i="247" s="1"/>
  <c r="S21" i="247" s="1"/>
  <c r="M21" i="247"/>
  <c r="L21" i="247"/>
  <c r="J21" i="247"/>
  <c r="I21" i="247"/>
  <c r="G21" i="247"/>
  <c r="F21" i="247"/>
  <c r="D21" i="247"/>
  <c r="C21" i="247"/>
  <c r="Q20" i="247"/>
  <c r="P20" i="247"/>
  <c r="O20" i="247"/>
  <c r="M20" i="247"/>
  <c r="L20" i="247"/>
  <c r="J20" i="247"/>
  <c r="I20" i="247"/>
  <c r="R20" i="247" s="1"/>
  <c r="G20" i="247"/>
  <c r="F20" i="247"/>
  <c r="C20" i="247"/>
  <c r="D20" i="247" s="1"/>
  <c r="S20" i="247" s="1"/>
  <c r="R19" i="247"/>
  <c r="Q19" i="247"/>
  <c r="P19" i="247"/>
  <c r="O19" i="247"/>
  <c r="M19" i="247"/>
  <c r="L19" i="247"/>
  <c r="J19" i="247"/>
  <c r="S19" i="247" s="1"/>
  <c r="I19" i="247"/>
  <c r="G19" i="247"/>
  <c r="F19" i="247"/>
  <c r="D19" i="247"/>
  <c r="C19" i="247"/>
  <c r="Q18" i="247"/>
  <c r="O18" i="247"/>
  <c r="P18" i="247" s="1"/>
  <c r="S18" i="247" s="1"/>
  <c r="M18" i="247"/>
  <c r="L18" i="247"/>
  <c r="J18" i="247"/>
  <c r="I18" i="247"/>
  <c r="G18" i="247"/>
  <c r="F18" i="247"/>
  <c r="R18" i="247" s="1"/>
  <c r="C18" i="247"/>
  <c r="D18" i="247" s="1"/>
  <c r="Q17" i="247"/>
  <c r="O17" i="247"/>
  <c r="R17" i="247" s="1"/>
  <c r="M17" i="247"/>
  <c r="L17" i="247"/>
  <c r="J17" i="247"/>
  <c r="I17" i="247"/>
  <c r="G17" i="247"/>
  <c r="F17" i="247"/>
  <c r="C17" i="247"/>
  <c r="D17" i="247" s="1"/>
  <c r="Q16" i="247"/>
  <c r="O16" i="247"/>
  <c r="P16" i="247" s="1"/>
  <c r="S16" i="247" s="1"/>
  <c r="M16" i="247"/>
  <c r="L16" i="247"/>
  <c r="J16" i="247"/>
  <c r="I16" i="247"/>
  <c r="G16" i="247"/>
  <c r="F16" i="247"/>
  <c r="D16" i="247"/>
  <c r="C16" i="247"/>
  <c r="Q15" i="247"/>
  <c r="P15" i="247"/>
  <c r="S15" i="247" s="1"/>
  <c r="O15" i="247"/>
  <c r="M15" i="247"/>
  <c r="L15" i="247"/>
  <c r="J15" i="247"/>
  <c r="I15" i="247"/>
  <c r="R15" i="247" s="1"/>
  <c r="G15" i="247"/>
  <c r="F15" i="247"/>
  <c r="F32" i="247" s="1"/>
  <c r="D15" i="247"/>
  <c r="C15" i="247"/>
  <c r="Q14" i="247"/>
  <c r="O14" i="247"/>
  <c r="R14" i="247" s="1"/>
  <c r="M14" i="247"/>
  <c r="L14" i="247"/>
  <c r="J14" i="247"/>
  <c r="I14" i="247"/>
  <c r="G14" i="247"/>
  <c r="G32" i="247" s="1"/>
  <c r="F14" i="247"/>
  <c r="C14" i="247"/>
  <c r="D14" i="247" s="1"/>
  <c r="Q13" i="247"/>
  <c r="P13" i="247"/>
  <c r="S13" i="247" s="1"/>
  <c r="O13" i="247"/>
  <c r="M13" i="247"/>
  <c r="L13" i="247"/>
  <c r="J13" i="247"/>
  <c r="I13" i="247"/>
  <c r="R13" i="247" s="1"/>
  <c r="G13" i="247"/>
  <c r="F13" i="247"/>
  <c r="C13" i="247"/>
  <c r="D13" i="247" s="1"/>
  <c r="Q12" i="247"/>
  <c r="Q32" i="247" s="1"/>
  <c r="O12" i="247"/>
  <c r="R12" i="247" s="1"/>
  <c r="M12" i="247"/>
  <c r="M32" i="247" s="1"/>
  <c r="L12" i="247"/>
  <c r="L32" i="247" s="1"/>
  <c r="J12" i="247"/>
  <c r="J32" i="247" s="1"/>
  <c r="I12" i="247"/>
  <c r="I32" i="247" s="1"/>
  <c r="G12" i="247"/>
  <c r="F12" i="247"/>
  <c r="C12" i="247"/>
  <c r="D12" i="247" s="1"/>
  <c r="D27" i="513"/>
  <c r="E27" i="513" s="1"/>
  <c r="F27" i="513" s="1"/>
  <c r="C27" i="513"/>
  <c r="D26" i="513"/>
  <c r="E26" i="513" s="1"/>
  <c r="F26" i="513" s="1"/>
  <c r="C26" i="513"/>
  <c r="D25" i="513"/>
  <c r="E25" i="513" s="1"/>
  <c r="F25" i="513" s="1"/>
  <c r="C25" i="513"/>
  <c r="D24" i="513"/>
  <c r="E24" i="513" s="1"/>
  <c r="F24" i="513" s="1"/>
  <c r="C24" i="513"/>
  <c r="D23" i="513"/>
  <c r="E23" i="513" s="1"/>
  <c r="F23" i="513" s="1"/>
  <c r="C23" i="513"/>
  <c r="D22" i="513"/>
  <c r="E22" i="513" s="1"/>
  <c r="F22" i="513" s="1"/>
  <c r="C22" i="513"/>
  <c r="D21" i="513"/>
  <c r="E21" i="513" s="1"/>
  <c r="F21" i="513" s="1"/>
  <c r="C21" i="513"/>
  <c r="D20" i="513"/>
  <c r="E20" i="513" s="1"/>
  <c r="F20" i="513" s="1"/>
  <c r="C20" i="513"/>
  <c r="D19" i="513"/>
  <c r="E19" i="513" s="1"/>
  <c r="F19" i="513" s="1"/>
  <c r="C19" i="513"/>
  <c r="D18" i="513"/>
  <c r="E18" i="513" s="1"/>
  <c r="F18" i="513" s="1"/>
  <c r="C18" i="513"/>
  <c r="D17" i="513"/>
  <c r="E17" i="513" s="1"/>
  <c r="F17" i="513" s="1"/>
  <c r="C17" i="513"/>
  <c r="D16" i="513"/>
  <c r="E16" i="513" s="1"/>
  <c r="F16" i="513" s="1"/>
  <c r="C16" i="513"/>
  <c r="D15" i="513"/>
  <c r="E15" i="513" s="1"/>
  <c r="F15" i="513" s="1"/>
  <c r="C15" i="513"/>
  <c r="D14" i="513"/>
  <c r="E14" i="513" s="1"/>
  <c r="F14" i="513" s="1"/>
  <c r="C14" i="513"/>
  <c r="D13" i="513"/>
  <c r="E13" i="513" s="1"/>
  <c r="F13" i="513" s="1"/>
  <c r="C13" i="513"/>
  <c r="D12" i="513"/>
  <c r="D28" i="513" s="1"/>
  <c r="C12" i="513"/>
  <c r="C28" i="513" s="1"/>
  <c r="P59" i="211"/>
  <c r="O59" i="211"/>
  <c r="N59" i="211"/>
  <c r="M59" i="211"/>
  <c r="L59" i="211"/>
  <c r="K59" i="211"/>
  <c r="I59" i="211"/>
  <c r="G59" i="211"/>
  <c r="F59" i="211"/>
  <c r="E59" i="211"/>
  <c r="D59" i="211"/>
  <c r="H59" i="211" s="1"/>
  <c r="B59" i="211"/>
  <c r="P58" i="211"/>
  <c r="O58" i="211"/>
  <c r="N58" i="211"/>
  <c r="M58" i="211"/>
  <c r="L58" i="211"/>
  <c r="K58" i="211"/>
  <c r="I58" i="211"/>
  <c r="G58" i="211"/>
  <c r="F58" i="211"/>
  <c r="E58" i="211"/>
  <c r="D58" i="211"/>
  <c r="H58" i="211" s="1"/>
  <c r="B58" i="211"/>
  <c r="P57" i="211"/>
  <c r="O57" i="211"/>
  <c r="N57" i="211"/>
  <c r="M57" i="211"/>
  <c r="L57" i="211"/>
  <c r="K57" i="211"/>
  <c r="I57" i="211"/>
  <c r="G57" i="211"/>
  <c r="F57" i="211"/>
  <c r="E57" i="211"/>
  <c r="D57" i="211"/>
  <c r="H57" i="211" s="1"/>
  <c r="B57" i="211"/>
  <c r="P56" i="211"/>
  <c r="O56" i="211"/>
  <c r="N56" i="211"/>
  <c r="M56" i="211"/>
  <c r="L56" i="211"/>
  <c r="K56" i="211"/>
  <c r="I56" i="211"/>
  <c r="H56" i="211"/>
  <c r="G56" i="211"/>
  <c r="F56" i="211"/>
  <c r="E56" i="211"/>
  <c r="D56" i="211"/>
  <c r="B56" i="211"/>
  <c r="P55" i="211"/>
  <c r="O55" i="211"/>
  <c r="N55" i="211"/>
  <c r="M55" i="211"/>
  <c r="L55" i="211"/>
  <c r="K55" i="211"/>
  <c r="I55" i="211"/>
  <c r="G55" i="211"/>
  <c r="F55" i="211"/>
  <c r="E55" i="211"/>
  <c r="H55" i="211" s="1"/>
  <c r="D55" i="211"/>
  <c r="B55" i="211"/>
  <c r="P54" i="211"/>
  <c r="O54" i="211"/>
  <c r="N54" i="211"/>
  <c r="M54" i="211"/>
  <c r="L54" i="211"/>
  <c r="K54" i="211"/>
  <c r="I54" i="211"/>
  <c r="G54" i="211"/>
  <c r="F54" i="211"/>
  <c r="E54" i="211"/>
  <c r="H54" i="211" s="1"/>
  <c r="D54" i="211"/>
  <c r="B54" i="211"/>
  <c r="P53" i="211"/>
  <c r="O53" i="211"/>
  <c r="N53" i="211"/>
  <c r="M53" i="211"/>
  <c r="L53" i="211"/>
  <c r="K53" i="211"/>
  <c r="I53" i="211"/>
  <c r="G53" i="211"/>
  <c r="F53" i="211"/>
  <c r="E53" i="211"/>
  <c r="H53" i="211" s="1"/>
  <c r="D53" i="211"/>
  <c r="B53" i="211"/>
  <c r="P52" i="211"/>
  <c r="O52" i="211"/>
  <c r="N52" i="211"/>
  <c r="M52" i="211"/>
  <c r="L52" i="211"/>
  <c r="K52" i="211"/>
  <c r="I52" i="211"/>
  <c r="G52" i="211"/>
  <c r="F52" i="211"/>
  <c r="E52" i="211"/>
  <c r="D52" i="211"/>
  <c r="H52" i="211" s="1"/>
  <c r="P51" i="211"/>
  <c r="O51" i="211"/>
  <c r="N51" i="211"/>
  <c r="M51" i="211"/>
  <c r="L51" i="211"/>
  <c r="K51" i="211"/>
  <c r="I51" i="211"/>
  <c r="H51" i="211"/>
  <c r="G51" i="211"/>
  <c r="F51" i="211"/>
  <c r="E51" i="211"/>
  <c r="D51" i="211"/>
  <c r="B51" i="211"/>
  <c r="P50" i="211"/>
  <c r="O50" i="211"/>
  <c r="N50" i="211"/>
  <c r="M50" i="211"/>
  <c r="M60" i="211" s="1"/>
  <c r="L50" i="211"/>
  <c r="K50" i="211"/>
  <c r="I50" i="211"/>
  <c r="G50" i="211"/>
  <c r="F50" i="211"/>
  <c r="E50" i="211"/>
  <c r="D50" i="211"/>
  <c r="H50" i="211" s="1"/>
  <c r="B50" i="211"/>
  <c r="P49" i="211"/>
  <c r="O49" i="211"/>
  <c r="N49" i="211"/>
  <c r="M49" i="211"/>
  <c r="L49" i="211"/>
  <c r="K49" i="211"/>
  <c r="I49" i="211"/>
  <c r="G49" i="211"/>
  <c r="F49" i="211"/>
  <c r="E49" i="211"/>
  <c r="H49" i="211" s="1"/>
  <c r="D49" i="211"/>
  <c r="B49" i="211"/>
  <c r="P48" i="211"/>
  <c r="O48" i="211"/>
  <c r="N48" i="211"/>
  <c r="M48" i="211"/>
  <c r="L48" i="211"/>
  <c r="K48" i="211"/>
  <c r="I48" i="211"/>
  <c r="G48" i="211"/>
  <c r="F48" i="211"/>
  <c r="E48" i="211"/>
  <c r="H48" i="211" s="1"/>
  <c r="D48" i="211"/>
  <c r="B48" i="211"/>
  <c r="P47" i="211"/>
  <c r="O47" i="211"/>
  <c r="N47" i="211"/>
  <c r="M47" i="211"/>
  <c r="L47" i="211"/>
  <c r="K47" i="211"/>
  <c r="I47" i="211"/>
  <c r="G47" i="211"/>
  <c r="F47" i="211"/>
  <c r="E47" i="211"/>
  <c r="D47" i="211"/>
  <c r="H47" i="211" s="1"/>
  <c r="B47" i="211"/>
  <c r="P46" i="211"/>
  <c r="O46" i="211"/>
  <c r="N46" i="211"/>
  <c r="M46" i="211"/>
  <c r="L46" i="211"/>
  <c r="K46" i="211"/>
  <c r="J46" i="211"/>
  <c r="I46" i="211"/>
  <c r="C46" i="211" s="1"/>
  <c r="Q46" i="211" s="1"/>
  <c r="R46" i="211" s="1"/>
  <c r="H46" i="211"/>
  <c r="G46" i="211"/>
  <c r="F46" i="211"/>
  <c r="E46" i="211"/>
  <c r="D46" i="211"/>
  <c r="B46" i="211"/>
  <c r="P45" i="211"/>
  <c r="O45" i="211"/>
  <c r="N45" i="211"/>
  <c r="M45" i="211"/>
  <c r="L45" i="211"/>
  <c r="K45" i="211"/>
  <c r="I45" i="211"/>
  <c r="H45" i="211"/>
  <c r="J45" i="211" s="1"/>
  <c r="G45" i="211"/>
  <c r="F45" i="211"/>
  <c r="E45" i="211"/>
  <c r="D45" i="211"/>
  <c r="B45" i="211"/>
  <c r="P44" i="211"/>
  <c r="O44" i="211"/>
  <c r="N44" i="211"/>
  <c r="M44" i="211"/>
  <c r="L44" i="211"/>
  <c r="K44" i="211"/>
  <c r="I44" i="211"/>
  <c r="G44" i="211"/>
  <c r="G60" i="211" s="1"/>
  <c r="F44" i="211"/>
  <c r="E44" i="211"/>
  <c r="D44" i="211"/>
  <c r="B44" i="211"/>
  <c r="P43" i="211"/>
  <c r="P60" i="211" s="1"/>
  <c r="O43" i="211"/>
  <c r="O60" i="211" s="1"/>
  <c r="O61" i="211" s="1"/>
  <c r="N43" i="211"/>
  <c r="N60" i="211" s="1"/>
  <c r="M43" i="211"/>
  <c r="L43" i="211"/>
  <c r="L60" i="211" s="1"/>
  <c r="K43" i="211"/>
  <c r="K60" i="211" s="1"/>
  <c r="I43" i="211"/>
  <c r="I60" i="211" s="1"/>
  <c r="I61" i="211" s="1"/>
  <c r="G43" i="211"/>
  <c r="F43" i="211"/>
  <c r="H43" i="211" s="1"/>
  <c r="E43" i="211"/>
  <c r="E60" i="211" s="1"/>
  <c r="D43" i="211"/>
  <c r="D60" i="211" s="1"/>
  <c r="B43" i="211"/>
  <c r="P42" i="211"/>
  <c r="P61" i="211" s="1"/>
  <c r="O42" i="211"/>
  <c r="M42" i="211"/>
  <c r="M61" i="211" s="1"/>
  <c r="L42" i="211"/>
  <c r="L61" i="211" s="1"/>
  <c r="I42" i="211"/>
  <c r="F42" i="211"/>
  <c r="E42" i="211"/>
  <c r="E61" i="211" s="1"/>
  <c r="N41" i="211"/>
  <c r="K41" i="211"/>
  <c r="G41" i="211"/>
  <c r="F41" i="211"/>
  <c r="E41" i="211"/>
  <c r="D41" i="211"/>
  <c r="H41" i="211" s="1"/>
  <c r="B41" i="211"/>
  <c r="N40" i="211"/>
  <c r="K40" i="211"/>
  <c r="G40" i="211"/>
  <c r="F40" i="211"/>
  <c r="E40" i="211"/>
  <c r="D40" i="211"/>
  <c r="H40" i="211" s="1"/>
  <c r="B40" i="211"/>
  <c r="N39" i="211"/>
  <c r="K39" i="211"/>
  <c r="G39" i="211"/>
  <c r="F39" i="211"/>
  <c r="E39" i="211"/>
  <c r="D39" i="211"/>
  <c r="H39" i="211" s="1"/>
  <c r="B39" i="211"/>
  <c r="N38" i="211"/>
  <c r="K38" i="211"/>
  <c r="G38" i="211"/>
  <c r="F38" i="211"/>
  <c r="E38" i="211"/>
  <c r="D38" i="211"/>
  <c r="H38" i="211" s="1"/>
  <c r="B38" i="211"/>
  <c r="N37" i="211"/>
  <c r="K37" i="211"/>
  <c r="G37" i="211"/>
  <c r="F37" i="211"/>
  <c r="E37" i="211"/>
  <c r="D37" i="211"/>
  <c r="H37" i="211" s="1"/>
  <c r="B37" i="211"/>
  <c r="N36" i="211"/>
  <c r="K36" i="211"/>
  <c r="G36" i="211"/>
  <c r="F36" i="211"/>
  <c r="E36" i="211"/>
  <c r="D36" i="211"/>
  <c r="H36" i="211" s="1"/>
  <c r="B36" i="211"/>
  <c r="N35" i="211"/>
  <c r="K35" i="211"/>
  <c r="G35" i="211"/>
  <c r="F35" i="211"/>
  <c r="E35" i="211"/>
  <c r="D35" i="211"/>
  <c r="H35" i="211" s="1"/>
  <c r="B35" i="211"/>
  <c r="N34" i="211"/>
  <c r="K34" i="211"/>
  <c r="G34" i="211"/>
  <c r="F34" i="211"/>
  <c r="E34" i="211"/>
  <c r="D34" i="211"/>
  <c r="H34" i="211" s="1"/>
  <c r="B34" i="211"/>
  <c r="N33" i="211"/>
  <c r="K33" i="211"/>
  <c r="G33" i="211"/>
  <c r="F33" i="211"/>
  <c r="E33" i="211"/>
  <c r="D33" i="211"/>
  <c r="H33" i="211" s="1"/>
  <c r="B33" i="211"/>
  <c r="N32" i="211"/>
  <c r="K32" i="211"/>
  <c r="G32" i="211"/>
  <c r="F32" i="211"/>
  <c r="E32" i="211"/>
  <c r="D32" i="211"/>
  <c r="H32" i="211" s="1"/>
  <c r="B32" i="211"/>
  <c r="N31" i="211"/>
  <c r="K31" i="211"/>
  <c r="G31" i="211"/>
  <c r="F31" i="211"/>
  <c r="E31" i="211"/>
  <c r="D31" i="211"/>
  <c r="H31" i="211" s="1"/>
  <c r="B31" i="211"/>
  <c r="N30" i="211"/>
  <c r="K30" i="211"/>
  <c r="G30" i="211"/>
  <c r="F30" i="211"/>
  <c r="E30" i="211"/>
  <c r="D30" i="211"/>
  <c r="H30" i="211" s="1"/>
  <c r="B30" i="211"/>
  <c r="N29" i="211"/>
  <c r="K29" i="211"/>
  <c r="G29" i="211"/>
  <c r="F29" i="211"/>
  <c r="E29" i="211"/>
  <c r="D29" i="211"/>
  <c r="H29" i="211" s="1"/>
  <c r="B29" i="211"/>
  <c r="N28" i="211"/>
  <c r="K28" i="211"/>
  <c r="G28" i="211"/>
  <c r="F28" i="211"/>
  <c r="E28" i="211"/>
  <c r="D28" i="211"/>
  <c r="H28" i="211" s="1"/>
  <c r="B28" i="211"/>
  <c r="N27" i="211"/>
  <c r="K27" i="211"/>
  <c r="G27" i="211"/>
  <c r="F27" i="211"/>
  <c r="E27" i="211"/>
  <c r="D27" i="211"/>
  <c r="H27" i="211" s="1"/>
  <c r="B27" i="211"/>
  <c r="N26" i="211"/>
  <c r="K26" i="211"/>
  <c r="G26" i="211"/>
  <c r="F26" i="211"/>
  <c r="E26" i="211"/>
  <c r="D26" i="211"/>
  <c r="H26" i="211" s="1"/>
  <c r="B26" i="211"/>
  <c r="N25" i="211"/>
  <c r="K25" i="211"/>
  <c r="G25" i="211"/>
  <c r="F25" i="211"/>
  <c r="E25" i="211"/>
  <c r="D25" i="211"/>
  <c r="H25" i="211" s="1"/>
  <c r="B25" i="211"/>
  <c r="N24" i="211"/>
  <c r="K24" i="211"/>
  <c r="G24" i="211"/>
  <c r="F24" i="211"/>
  <c r="E24" i="211"/>
  <c r="D24" i="211"/>
  <c r="H24" i="211" s="1"/>
  <c r="B24" i="211"/>
  <c r="N23" i="211"/>
  <c r="K23" i="211"/>
  <c r="G23" i="211"/>
  <c r="F23" i="211"/>
  <c r="E23" i="211"/>
  <c r="D23" i="211"/>
  <c r="H23" i="211" s="1"/>
  <c r="B23" i="211"/>
  <c r="N22" i="211"/>
  <c r="K22" i="211"/>
  <c r="G22" i="211"/>
  <c r="F22" i="211"/>
  <c r="E22" i="211"/>
  <c r="D22" i="211"/>
  <c r="H22" i="211" s="1"/>
  <c r="B22" i="211"/>
  <c r="N21" i="211"/>
  <c r="K21" i="211"/>
  <c r="G21" i="211"/>
  <c r="F21" i="211"/>
  <c r="E21" i="211"/>
  <c r="D21" i="211"/>
  <c r="H21" i="211" s="1"/>
  <c r="B21" i="211"/>
  <c r="N20" i="211"/>
  <c r="K20" i="211"/>
  <c r="G20" i="211"/>
  <c r="F20" i="211"/>
  <c r="E20" i="211"/>
  <c r="D20" i="211"/>
  <c r="H20" i="211" s="1"/>
  <c r="B20" i="211"/>
  <c r="N19" i="211"/>
  <c r="K19" i="211"/>
  <c r="G19" i="211"/>
  <c r="F19" i="211"/>
  <c r="E19" i="211"/>
  <c r="D19" i="211"/>
  <c r="H19" i="211" s="1"/>
  <c r="B19" i="211"/>
  <c r="N18" i="211"/>
  <c r="K18" i="211"/>
  <c r="G18" i="211"/>
  <c r="F18" i="211"/>
  <c r="E18" i="211"/>
  <c r="D18" i="211"/>
  <c r="H18" i="211" s="1"/>
  <c r="B18" i="211"/>
  <c r="N17" i="211"/>
  <c r="K17" i="211"/>
  <c r="G17" i="211"/>
  <c r="F17" i="211"/>
  <c r="E17" i="211"/>
  <c r="D17" i="211"/>
  <c r="H17" i="211" s="1"/>
  <c r="B17" i="211"/>
  <c r="N16" i="211"/>
  <c r="K16" i="211"/>
  <c r="G16" i="211"/>
  <c r="F16" i="211"/>
  <c r="E16" i="211"/>
  <c r="D16" i="211"/>
  <c r="H16" i="211" s="1"/>
  <c r="B16" i="211"/>
  <c r="N15" i="211"/>
  <c r="K15" i="211"/>
  <c r="G15" i="211"/>
  <c r="F15" i="211"/>
  <c r="E15" i="211"/>
  <c r="D15" i="211"/>
  <c r="H15" i="211" s="1"/>
  <c r="B15" i="211"/>
  <c r="N14" i="211"/>
  <c r="K14" i="211"/>
  <c r="G14" i="211"/>
  <c r="F14" i="211"/>
  <c r="E14" i="211"/>
  <c r="D14" i="211"/>
  <c r="H14" i="211" s="1"/>
  <c r="B14" i="211"/>
  <c r="N13" i="211"/>
  <c r="K13" i="211"/>
  <c r="G13" i="211"/>
  <c r="F13" i="211"/>
  <c r="E13" i="211"/>
  <c r="D13" i="211"/>
  <c r="H13" i="211" s="1"/>
  <c r="B13" i="211"/>
  <c r="N12" i="211"/>
  <c r="K12" i="211"/>
  <c r="G12" i="211"/>
  <c r="F12" i="211"/>
  <c r="E12" i="211"/>
  <c r="D12" i="211"/>
  <c r="H12" i="211" s="1"/>
  <c r="B12" i="211"/>
  <c r="N11" i="211"/>
  <c r="N42" i="211" s="1"/>
  <c r="N61" i="211" s="1"/>
  <c r="K11" i="211"/>
  <c r="K42" i="211" s="1"/>
  <c r="G11" i="211"/>
  <c r="G42" i="211" s="1"/>
  <c r="F11" i="211"/>
  <c r="E11" i="211"/>
  <c r="D11" i="211"/>
  <c r="D42" i="211" s="1"/>
  <c r="D61" i="211" s="1"/>
  <c r="B11" i="211"/>
  <c r="C12" i="261"/>
  <c r="E12" i="261" s="1"/>
  <c r="D16" i="253"/>
  <c r="E16" i="253" s="1"/>
  <c r="C16" i="253"/>
  <c r="C15" i="253"/>
  <c r="D15" i="253" s="1"/>
  <c r="E15" i="253" s="1"/>
  <c r="E14" i="253"/>
  <c r="D14" i="253"/>
  <c r="C14" i="253"/>
  <c r="E13" i="253"/>
  <c r="D13" i="253"/>
  <c r="C13" i="253"/>
  <c r="D12" i="253"/>
  <c r="E12" i="253" s="1"/>
  <c r="C12" i="253"/>
  <c r="C11" i="253"/>
  <c r="C17" i="253" s="1"/>
  <c r="I18" i="385"/>
  <c r="H18" i="385"/>
  <c r="G18" i="385"/>
  <c r="I11" i="385"/>
  <c r="I9" i="385" s="1"/>
  <c r="H11" i="385"/>
  <c r="H9" i="385" s="1"/>
  <c r="G11" i="385"/>
  <c r="G9" i="385" s="1"/>
  <c r="C39" i="381"/>
  <c r="C38" i="381"/>
  <c r="C33" i="381"/>
  <c r="C30" i="381"/>
  <c r="C29" i="381"/>
  <c r="C31" i="381" s="1"/>
  <c r="C26" i="381"/>
  <c r="C25" i="381"/>
  <c r="C27" i="381" s="1"/>
  <c r="C22" i="381"/>
  <c r="C21" i="381"/>
  <c r="C23" i="381" s="1"/>
  <c r="C19" i="381"/>
  <c r="C18" i="381"/>
  <c r="C17" i="381"/>
  <c r="C14" i="381"/>
  <c r="C41" i="381" s="1"/>
  <c r="C13" i="381"/>
  <c r="C40" i="381" s="1"/>
  <c r="C14" i="376"/>
  <c r="C13" i="376"/>
  <c r="C27" i="376" s="1"/>
  <c r="B70" i="311"/>
  <c r="C69" i="311"/>
  <c r="B69" i="311"/>
  <c r="C68" i="311"/>
  <c r="B68" i="311"/>
  <c r="C67" i="311"/>
  <c r="B67" i="311"/>
  <c r="C66" i="311"/>
  <c r="B66" i="311"/>
  <c r="C65" i="311"/>
  <c r="B65" i="311"/>
  <c r="C64" i="311"/>
  <c r="B64" i="311"/>
  <c r="C63" i="311"/>
  <c r="B63" i="311"/>
  <c r="C62" i="311"/>
  <c r="B62" i="311"/>
  <c r="C61" i="311"/>
  <c r="B61" i="311"/>
  <c r="C60" i="311"/>
  <c r="B60" i="311"/>
  <c r="C59" i="311"/>
  <c r="B59" i="311"/>
  <c r="C58" i="311"/>
  <c r="B58" i="311"/>
  <c r="C57" i="311"/>
  <c r="B57" i="311"/>
  <c r="C56" i="311"/>
  <c r="B56" i="311"/>
  <c r="C55" i="311"/>
  <c r="B55" i="311"/>
  <c r="C54" i="311"/>
  <c r="B54" i="311"/>
  <c r="C53" i="311"/>
  <c r="B53" i="311"/>
  <c r="C52" i="311"/>
  <c r="B52" i="311"/>
  <c r="C51" i="311"/>
  <c r="B51" i="311"/>
  <c r="C50" i="311"/>
  <c r="B50" i="311"/>
  <c r="C49" i="311"/>
  <c r="B49" i="311"/>
  <c r="C48" i="311"/>
  <c r="B48" i="311"/>
  <c r="C47" i="311"/>
  <c r="B47" i="311"/>
  <c r="C46" i="311"/>
  <c r="B46" i="311"/>
  <c r="C45" i="311"/>
  <c r="B45" i="311"/>
  <c r="C44" i="311"/>
  <c r="B44" i="311"/>
  <c r="C43" i="311"/>
  <c r="B43" i="311"/>
  <c r="C42" i="311"/>
  <c r="B42" i="311"/>
  <c r="C41" i="311"/>
  <c r="B41" i="311"/>
  <c r="C40" i="311"/>
  <c r="B40" i="311"/>
  <c r="C39" i="311"/>
  <c r="B39" i="311"/>
  <c r="C38" i="311"/>
  <c r="B38" i="311"/>
  <c r="C37" i="311"/>
  <c r="B37" i="311"/>
  <c r="C36" i="311"/>
  <c r="B36" i="311"/>
  <c r="C35" i="311"/>
  <c r="B35" i="311"/>
  <c r="C34" i="311"/>
  <c r="B34" i="311"/>
  <c r="B33" i="311"/>
  <c r="C32" i="311"/>
  <c r="B32" i="311"/>
  <c r="C31" i="311"/>
  <c r="B31" i="311"/>
  <c r="C30" i="311"/>
  <c r="B30" i="311"/>
  <c r="C29" i="311"/>
  <c r="B29" i="311"/>
  <c r="C28" i="311"/>
  <c r="B28" i="311"/>
  <c r="C27" i="311"/>
  <c r="B27" i="311"/>
  <c r="C26" i="311"/>
  <c r="B26" i="311"/>
  <c r="C25" i="311"/>
  <c r="B25" i="311"/>
  <c r="C24" i="311"/>
  <c r="B24" i="311"/>
  <c r="C23" i="311"/>
  <c r="B23" i="311"/>
  <c r="C22" i="311"/>
  <c r="B22" i="311"/>
  <c r="C21" i="311"/>
  <c r="B21" i="311"/>
  <c r="C20" i="311"/>
  <c r="B20" i="311"/>
  <c r="C19" i="311"/>
  <c r="B19" i="311"/>
  <c r="C18" i="311"/>
  <c r="B18" i="311"/>
  <c r="C15" i="311"/>
  <c r="B15" i="311"/>
  <c r="C14" i="311"/>
  <c r="C70" i="311" s="1"/>
  <c r="A14" i="311"/>
  <c r="C12" i="311"/>
  <c r="B12" i="311"/>
  <c r="C11" i="311"/>
  <c r="B11" i="311"/>
  <c r="C10" i="311"/>
  <c r="B10" i="311"/>
  <c r="A10" i="311"/>
  <c r="F59" i="239"/>
  <c r="E59" i="239"/>
  <c r="D59" i="239"/>
  <c r="D56" i="239" s="1"/>
  <c r="F58" i="239"/>
  <c r="E58" i="239"/>
  <c r="D58" i="239"/>
  <c r="F57" i="239"/>
  <c r="F56" i="239" s="1"/>
  <c r="E57" i="239"/>
  <c r="E56" i="239" s="1"/>
  <c r="D57" i="239"/>
  <c r="F55" i="239"/>
  <c r="E55" i="239"/>
  <c r="E54" i="239" s="1"/>
  <c r="D55" i="239"/>
  <c r="D54" i="239" s="1"/>
  <c r="F54" i="239"/>
  <c r="F53" i="239"/>
  <c r="E53" i="239"/>
  <c r="D53" i="239"/>
  <c r="F52" i="239"/>
  <c r="F51" i="239" s="1"/>
  <c r="E52" i="239"/>
  <c r="D52" i="239"/>
  <c r="E51" i="239"/>
  <c r="D51" i="239"/>
  <c r="F50" i="239"/>
  <c r="E50" i="239"/>
  <c r="D50" i="239"/>
  <c r="F49" i="239"/>
  <c r="E49" i="239"/>
  <c r="D49" i="239"/>
  <c r="F48" i="239"/>
  <c r="F47" i="239" s="1"/>
  <c r="E48" i="239"/>
  <c r="D48" i="239"/>
  <c r="E47" i="239"/>
  <c r="D47" i="239"/>
  <c r="F46" i="239"/>
  <c r="E46" i="239"/>
  <c r="D46" i="239"/>
  <c r="F45" i="239"/>
  <c r="E45" i="239"/>
  <c r="D45" i="239"/>
  <c r="F44" i="239"/>
  <c r="E44" i="239"/>
  <c r="D44" i="239"/>
  <c r="F43" i="239"/>
  <c r="E43" i="239"/>
  <c r="E42" i="239" s="1"/>
  <c r="D43" i="239"/>
  <c r="D42" i="239" s="1"/>
  <c r="F42" i="239"/>
  <c r="F41" i="239"/>
  <c r="F40" i="239" s="1"/>
  <c r="E41" i="239"/>
  <c r="E40" i="239" s="1"/>
  <c r="D41" i="239"/>
  <c r="D40" i="239"/>
  <c r="F39" i="239"/>
  <c r="E39" i="239"/>
  <c r="D39" i="239"/>
  <c r="F38" i="239"/>
  <c r="E38" i="239"/>
  <c r="D38" i="239"/>
  <c r="F37" i="239"/>
  <c r="E37" i="239"/>
  <c r="D37" i="239"/>
  <c r="D36" i="239"/>
  <c r="F35" i="239"/>
  <c r="E35" i="239"/>
  <c r="D35" i="239"/>
  <c r="D34" i="239" s="1"/>
  <c r="F33" i="239"/>
  <c r="E33" i="239"/>
  <c r="D33" i="239"/>
  <c r="F32" i="239"/>
  <c r="E32" i="239"/>
  <c r="D32" i="239"/>
  <c r="F31" i="239"/>
  <c r="E31" i="239"/>
  <c r="D31" i="239"/>
  <c r="F30" i="239"/>
  <c r="E30" i="239"/>
  <c r="D30" i="239"/>
  <c r="F29" i="239"/>
  <c r="F28" i="239" s="1"/>
  <c r="E29" i="239"/>
  <c r="E28" i="239" s="1"/>
  <c r="D29" i="239"/>
  <c r="D28" i="239"/>
  <c r="F26" i="239"/>
  <c r="E26" i="239"/>
  <c r="D26" i="239"/>
  <c r="F25" i="239"/>
  <c r="E25" i="239"/>
  <c r="D25" i="239"/>
  <c r="F23" i="239"/>
  <c r="E23" i="239"/>
  <c r="D23" i="239"/>
  <c r="F22" i="239"/>
  <c r="F21" i="239" s="1"/>
  <c r="E22" i="239"/>
  <c r="E21" i="239" s="1"/>
  <c r="D22" i="239"/>
  <c r="D21" i="239" s="1"/>
  <c r="F20" i="239"/>
  <c r="E20" i="239"/>
  <c r="D20" i="239"/>
  <c r="F19" i="239"/>
  <c r="E19" i="239"/>
  <c r="D19" i="239"/>
  <c r="F18" i="239"/>
  <c r="E18" i="239"/>
  <c r="D18" i="239"/>
  <c r="F17" i="239"/>
  <c r="E17" i="239"/>
  <c r="D17" i="239"/>
  <c r="F16" i="239"/>
  <c r="E16" i="239"/>
  <c r="D16" i="239"/>
  <c r="F15" i="239"/>
  <c r="E15" i="239"/>
  <c r="D15" i="239"/>
  <c r="F14" i="239"/>
  <c r="E14" i="239"/>
  <c r="D14" i="239"/>
  <c r="F13" i="239"/>
  <c r="F11" i="239" s="1"/>
  <c r="E13" i="239"/>
  <c r="D13" i="239"/>
  <c r="F12" i="239"/>
  <c r="E12" i="239"/>
  <c r="D12" i="239"/>
  <c r="E11" i="239"/>
  <c r="D11" i="239"/>
  <c r="E67" i="252"/>
  <c r="G61" i="252"/>
  <c r="F61" i="252"/>
  <c r="E61" i="252"/>
  <c r="G44" i="252"/>
  <c r="F44" i="252"/>
  <c r="E44" i="252"/>
  <c r="G34" i="252"/>
  <c r="F34" i="252"/>
  <c r="E34" i="252"/>
  <c r="G28" i="252"/>
  <c r="F28" i="252"/>
  <c r="E28" i="252"/>
  <c r="E63" i="252" s="1"/>
  <c r="F27" i="252"/>
  <c r="F63" i="252" s="1"/>
  <c r="E27" i="252"/>
  <c r="G17" i="252"/>
  <c r="G27" i="252" s="1"/>
  <c r="G63" i="252" s="1"/>
  <c r="F17" i="252"/>
  <c r="E17" i="252"/>
  <c r="J291" i="489"/>
  <c r="H291" i="489"/>
  <c r="I290" i="489"/>
  <c r="I288" i="489"/>
  <c r="I291" i="489" s="1"/>
  <c r="I283" i="489"/>
  <c r="J282" i="489"/>
  <c r="I282" i="489"/>
  <c r="H282" i="489"/>
  <c r="H283" i="489" s="1"/>
  <c r="J280" i="489"/>
  <c r="J283" i="489" s="1"/>
  <c r="I280" i="489"/>
  <c r="H280" i="489"/>
  <c r="I279" i="489"/>
  <c r="J274" i="489"/>
  <c r="H274" i="489"/>
  <c r="I273" i="489"/>
  <c r="I272" i="489"/>
  <c r="I271" i="489"/>
  <c r="I270" i="489"/>
  <c r="I274" i="489" s="1"/>
  <c r="J269" i="489"/>
  <c r="H269" i="489"/>
  <c r="I268" i="489"/>
  <c r="I267" i="489"/>
  <c r="I266" i="489"/>
  <c r="I265" i="489"/>
  <c r="I264" i="489"/>
  <c r="I263" i="489"/>
  <c r="I262" i="489"/>
  <c r="I261" i="489"/>
  <c r="I260" i="489"/>
  <c r="I259" i="489"/>
  <c r="I258" i="489"/>
  <c r="I257" i="489"/>
  <c r="I256" i="489"/>
  <c r="I255" i="489"/>
  <c r="I254" i="489"/>
  <c r="I253" i="489"/>
  <c r="I269" i="489" s="1"/>
  <c r="J252" i="489"/>
  <c r="J275" i="489" s="1"/>
  <c r="H252" i="489"/>
  <c r="H275" i="489" s="1"/>
  <c r="I251" i="489"/>
  <c r="I250" i="489"/>
  <c r="I249" i="489"/>
  <c r="I248" i="489"/>
  <c r="I247" i="489"/>
  <c r="I246" i="489"/>
  <c r="I245" i="489"/>
  <c r="I244" i="489"/>
  <c r="I243" i="489"/>
  <c r="I242" i="489"/>
  <c r="I241" i="489"/>
  <c r="I240" i="489"/>
  <c r="I239" i="489"/>
  <c r="I238" i="489"/>
  <c r="I237" i="489"/>
  <c r="I236" i="489"/>
  <c r="I235" i="489"/>
  <c r="I234" i="489"/>
  <c r="I233" i="489"/>
  <c r="I232" i="489"/>
  <c r="I231" i="489"/>
  <c r="I230" i="489"/>
  <c r="I229" i="489"/>
  <c r="I228" i="489"/>
  <c r="I227" i="489"/>
  <c r="I252" i="489" s="1"/>
  <c r="J223" i="489"/>
  <c r="I223" i="489"/>
  <c r="H223" i="489"/>
  <c r="J212" i="489"/>
  <c r="H212" i="489"/>
  <c r="I211" i="489"/>
  <c r="I210" i="489"/>
  <c r="I209" i="489"/>
  <c r="I208" i="489"/>
  <c r="I207" i="489"/>
  <c r="I206" i="489"/>
  <c r="I205" i="489"/>
  <c r="I204" i="489"/>
  <c r="I203" i="489"/>
  <c r="I212" i="489" s="1"/>
  <c r="J202" i="489"/>
  <c r="H202" i="489"/>
  <c r="H213" i="489" s="1"/>
  <c r="I201" i="489"/>
  <c r="I200" i="489"/>
  <c r="I199" i="489"/>
  <c r="I198" i="489"/>
  <c r="I202" i="489" s="1"/>
  <c r="J197" i="489"/>
  <c r="H197" i="489"/>
  <c r="I196" i="489"/>
  <c r="I192" i="489"/>
  <c r="I191" i="489"/>
  <c r="I190" i="489"/>
  <c r="I189" i="489"/>
  <c r="I187" i="489"/>
  <c r="I185" i="489"/>
  <c r="I197" i="489" s="1"/>
  <c r="J182" i="489"/>
  <c r="J213" i="489" s="1"/>
  <c r="H182" i="489"/>
  <c r="I181" i="489"/>
  <c r="I180" i="489"/>
  <c r="I179" i="489"/>
  <c r="I178" i="489"/>
  <c r="I175" i="489"/>
  <c r="I174" i="489"/>
  <c r="I173" i="489"/>
  <c r="I182" i="489" s="1"/>
  <c r="I213" i="489" s="1"/>
  <c r="J169" i="489"/>
  <c r="I169" i="489"/>
  <c r="H169" i="489"/>
  <c r="I168" i="489"/>
  <c r="J164" i="489"/>
  <c r="H164" i="489"/>
  <c r="I163" i="489"/>
  <c r="I164" i="489" s="1"/>
  <c r="J158" i="489"/>
  <c r="H158" i="489"/>
  <c r="I157" i="489"/>
  <c r="I156" i="489"/>
  <c r="I155" i="489"/>
  <c r="I154" i="489"/>
  <c r="I153" i="489"/>
  <c r="I158" i="489" s="1"/>
  <c r="J152" i="489"/>
  <c r="J159" i="489" s="1"/>
  <c r="I152" i="489"/>
  <c r="H152" i="489"/>
  <c r="J135" i="489"/>
  <c r="I135" i="489"/>
  <c r="I159" i="489" s="1"/>
  <c r="H135" i="489"/>
  <c r="H159" i="489" s="1"/>
  <c r="J108" i="489"/>
  <c r="H108" i="489"/>
  <c r="J107" i="489"/>
  <c r="H107" i="489"/>
  <c r="I106" i="489"/>
  <c r="I105" i="489"/>
  <c r="I104" i="489"/>
  <c r="I107" i="489" s="1"/>
  <c r="J103" i="489"/>
  <c r="I103" i="489"/>
  <c r="H103" i="489"/>
  <c r="I102" i="489"/>
  <c r="I101" i="489"/>
  <c r="I100" i="489"/>
  <c r="I99" i="489"/>
  <c r="I98" i="489"/>
  <c r="J93" i="489"/>
  <c r="H93" i="489"/>
  <c r="I92" i="489"/>
  <c r="I91" i="489"/>
  <c r="I90" i="489"/>
  <c r="I89" i="489"/>
  <c r="I88" i="489"/>
  <c r="I93" i="489" s="1"/>
  <c r="I94" i="489" s="1"/>
  <c r="J87" i="489"/>
  <c r="I87" i="489"/>
  <c r="H87" i="489"/>
  <c r="H94" i="489" s="1"/>
  <c r="J70" i="489"/>
  <c r="J94" i="489" s="1"/>
  <c r="I70" i="489"/>
  <c r="H70" i="489"/>
  <c r="J35" i="489"/>
  <c r="J34" i="489"/>
  <c r="I34" i="489"/>
  <c r="H34" i="489"/>
  <c r="J31" i="489"/>
  <c r="I31" i="489"/>
  <c r="H31" i="489"/>
  <c r="H35" i="489" s="1"/>
  <c r="H292" i="489" s="1"/>
  <c r="J29" i="489"/>
  <c r="I29" i="489"/>
  <c r="I35" i="489" s="1"/>
  <c r="H29" i="489"/>
  <c r="B40" i="251"/>
  <c r="B39" i="251" s="1"/>
  <c r="D39" i="251"/>
  <c r="C39" i="251"/>
  <c r="D38" i="251"/>
  <c r="C38" i="251"/>
  <c r="B38" i="251"/>
  <c r="D37" i="251"/>
  <c r="C37" i="251"/>
  <c r="B37" i="251"/>
  <c r="D36" i="251"/>
  <c r="C36" i="251"/>
  <c r="B36" i="251"/>
  <c r="D35" i="251"/>
  <c r="C35" i="251"/>
  <c r="B35" i="251"/>
  <c r="D34" i="251"/>
  <c r="C34" i="251"/>
  <c r="B34" i="251"/>
  <c r="D33" i="251"/>
  <c r="C33" i="251"/>
  <c r="B33" i="251"/>
  <c r="D32" i="251"/>
  <c r="C32" i="251"/>
  <c r="B32" i="251"/>
  <c r="D31" i="251"/>
  <c r="C31" i="251"/>
  <c r="B31" i="251"/>
  <c r="D30" i="251"/>
  <c r="C30" i="251"/>
  <c r="B30" i="251"/>
  <c r="D29" i="251"/>
  <c r="C29" i="251"/>
  <c r="B29" i="251"/>
  <c r="D28" i="251"/>
  <c r="C28" i="251"/>
  <c r="B28" i="251"/>
  <c r="D27" i="251"/>
  <c r="C27" i="251"/>
  <c r="B27" i="251"/>
  <c r="D26" i="251"/>
  <c r="C26" i="251"/>
  <c r="B26" i="251"/>
  <c r="D25" i="251"/>
  <c r="C25" i="251"/>
  <c r="B25" i="251"/>
  <c r="D24" i="251"/>
  <c r="C24" i="251"/>
  <c r="C23" i="251" s="1"/>
  <c r="B24" i="251"/>
  <c r="B23" i="251" s="1"/>
  <c r="D23" i="251"/>
  <c r="D22" i="251"/>
  <c r="C22" i="251"/>
  <c r="B22" i="251"/>
  <c r="D21" i="251"/>
  <c r="C21" i="251"/>
  <c r="B21" i="251"/>
  <c r="D20" i="251"/>
  <c r="C20" i="251"/>
  <c r="B20" i="251"/>
  <c r="D19" i="251"/>
  <c r="C19" i="251"/>
  <c r="B19" i="251"/>
  <c r="D18" i="251"/>
  <c r="C18" i="251"/>
  <c r="B18" i="251"/>
  <c r="D17" i="251"/>
  <c r="C17" i="251"/>
  <c r="B17" i="251"/>
  <c r="D16" i="251"/>
  <c r="C16" i="251"/>
  <c r="B16" i="251"/>
  <c r="D15" i="251"/>
  <c r="D14" i="251" s="1"/>
  <c r="C15" i="251"/>
  <c r="C14" i="251" s="1"/>
  <c r="B15" i="251"/>
  <c r="B14" i="251" s="1"/>
  <c r="D13" i="251"/>
  <c r="D12" i="251" s="1"/>
  <c r="C13" i="251"/>
  <c r="B13" i="251"/>
  <c r="C12" i="251"/>
  <c r="B12" i="251"/>
  <c r="D71" i="270"/>
  <c r="C71" i="270"/>
  <c r="I70" i="270"/>
  <c r="H70" i="270"/>
  <c r="H71" i="270" s="1"/>
  <c r="G70" i="270"/>
  <c r="F70" i="270"/>
  <c r="E70" i="270"/>
  <c r="D70" i="270"/>
  <c r="C70" i="270"/>
  <c r="H69" i="270"/>
  <c r="G69" i="270"/>
  <c r="G71" i="270" s="1"/>
  <c r="F69" i="270"/>
  <c r="F71" i="270" s="1"/>
  <c r="E69" i="270"/>
  <c r="E71" i="270" s="1"/>
  <c r="D69" i="270"/>
  <c r="C69" i="270"/>
  <c r="I69" i="270" s="1"/>
  <c r="H67" i="270"/>
  <c r="G67" i="270"/>
  <c r="F67" i="270"/>
  <c r="E67" i="270"/>
  <c r="D67" i="270"/>
  <c r="C67" i="270"/>
  <c r="I67" i="270" s="1"/>
  <c r="B67" i="270"/>
  <c r="H66" i="270"/>
  <c r="G66" i="270"/>
  <c r="F66" i="270"/>
  <c r="E66" i="270"/>
  <c r="D66" i="270"/>
  <c r="C66" i="270"/>
  <c r="I66" i="270" s="1"/>
  <c r="B66" i="270"/>
  <c r="I65" i="270"/>
  <c r="H65" i="270"/>
  <c r="G65" i="270"/>
  <c r="F65" i="270"/>
  <c r="E65" i="270"/>
  <c r="D65" i="270"/>
  <c r="C65" i="270"/>
  <c r="B65" i="270"/>
  <c r="H64" i="270"/>
  <c r="G64" i="270"/>
  <c r="F64" i="270"/>
  <c r="E64" i="270"/>
  <c r="D64" i="270"/>
  <c r="C64" i="270"/>
  <c r="I64" i="270" s="1"/>
  <c r="B64" i="270"/>
  <c r="H63" i="270"/>
  <c r="G63" i="270"/>
  <c r="F63" i="270"/>
  <c r="E63" i="270"/>
  <c r="D63" i="270"/>
  <c r="C63" i="270"/>
  <c r="I63" i="270" s="1"/>
  <c r="B63" i="270"/>
  <c r="I62" i="270"/>
  <c r="H62" i="270"/>
  <c r="G62" i="270"/>
  <c r="F62" i="270"/>
  <c r="E62" i="270"/>
  <c r="D62" i="270"/>
  <c r="C62" i="270"/>
  <c r="B62" i="270"/>
  <c r="H61" i="270"/>
  <c r="G61" i="270"/>
  <c r="F61" i="270"/>
  <c r="E61" i="270"/>
  <c r="D61" i="270"/>
  <c r="C61" i="270"/>
  <c r="I61" i="270" s="1"/>
  <c r="B61" i="270"/>
  <c r="H60" i="270"/>
  <c r="G60" i="270"/>
  <c r="F60" i="270"/>
  <c r="E60" i="270"/>
  <c r="D60" i="270"/>
  <c r="C60" i="270"/>
  <c r="I60" i="270" s="1"/>
  <c r="B60" i="270"/>
  <c r="I59" i="270"/>
  <c r="H59" i="270"/>
  <c r="G59" i="270"/>
  <c r="F59" i="270"/>
  <c r="E59" i="270"/>
  <c r="D59" i="270"/>
  <c r="C59" i="270"/>
  <c r="B59" i="270"/>
  <c r="H58" i="270"/>
  <c r="G58" i="270"/>
  <c r="F58" i="270"/>
  <c r="E58" i="270"/>
  <c r="D58" i="270"/>
  <c r="C58" i="270"/>
  <c r="I58" i="270" s="1"/>
  <c r="B58" i="270"/>
  <c r="H57" i="270"/>
  <c r="G57" i="270"/>
  <c r="F57" i="270"/>
  <c r="E57" i="270"/>
  <c r="D57" i="270"/>
  <c r="C57" i="270"/>
  <c r="I57" i="270" s="1"/>
  <c r="B57" i="270"/>
  <c r="I56" i="270"/>
  <c r="H56" i="270"/>
  <c r="G56" i="270"/>
  <c r="F56" i="270"/>
  <c r="E56" i="270"/>
  <c r="D56" i="270"/>
  <c r="C56" i="270"/>
  <c r="B56" i="270"/>
  <c r="H55" i="270"/>
  <c r="G55" i="270"/>
  <c r="F55" i="270"/>
  <c r="E55" i="270"/>
  <c r="D55" i="270"/>
  <c r="C55" i="270"/>
  <c r="I55" i="270" s="1"/>
  <c r="B55" i="270"/>
  <c r="H54" i="270"/>
  <c r="G54" i="270"/>
  <c r="F54" i="270"/>
  <c r="E54" i="270"/>
  <c r="D54" i="270"/>
  <c r="C54" i="270"/>
  <c r="I54" i="270" s="1"/>
  <c r="B54" i="270"/>
  <c r="I53" i="270"/>
  <c r="H53" i="270"/>
  <c r="G53" i="270"/>
  <c r="F53" i="270"/>
  <c r="E53" i="270"/>
  <c r="D53" i="270"/>
  <c r="C53" i="270"/>
  <c r="B53" i="270"/>
  <c r="H52" i="270"/>
  <c r="H68" i="270" s="1"/>
  <c r="G52" i="270"/>
  <c r="G68" i="270" s="1"/>
  <c r="F52" i="270"/>
  <c r="F68" i="270" s="1"/>
  <c r="E52" i="270"/>
  <c r="E68" i="270" s="1"/>
  <c r="D52" i="270"/>
  <c r="D68" i="270" s="1"/>
  <c r="C52" i="270"/>
  <c r="C68" i="270" s="1"/>
  <c r="B52" i="270"/>
  <c r="H51" i="270"/>
  <c r="G51" i="270"/>
  <c r="F51" i="270"/>
  <c r="E51" i="270"/>
  <c r="D51" i="270"/>
  <c r="C51" i="270"/>
  <c r="I50" i="270"/>
  <c r="I49" i="270"/>
  <c r="I51" i="270" s="1"/>
  <c r="B48" i="270"/>
  <c r="H47" i="270"/>
  <c r="I47" i="270" s="1"/>
  <c r="G47" i="270"/>
  <c r="F47" i="270"/>
  <c r="E47" i="270"/>
  <c r="D47" i="270"/>
  <c r="C47" i="270"/>
  <c r="B47" i="270"/>
  <c r="H46" i="270"/>
  <c r="G46" i="270"/>
  <c r="F46" i="270"/>
  <c r="E46" i="270"/>
  <c r="D46" i="270"/>
  <c r="C46" i="270"/>
  <c r="I46" i="270" s="1"/>
  <c r="B46" i="270"/>
  <c r="I45" i="270"/>
  <c r="H45" i="270"/>
  <c r="G45" i="270"/>
  <c r="F45" i="270"/>
  <c r="E45" i="270"/>
  <c r="D45" i="270"/>
  <c r="C45" i="270"/>
  <c r="B45" i="270"/>
  <c r="H44" i="270"/>
  <c r="I44" i="270" s="1"/>
  <c r="G44" i="270"/>
  <c r="F44" i="270"/>
  <c r="E44" i="270"/>
  <c r="D44" i="270"/>
  <c r="C44" i="270"/>
  <c r="B44" i="270"/>
  <c r="H43" i="270"/>
  <c r="G43" i="270"/>
  <c r="F43" i="270"/>
  <c r="E43" i="270"/>
  <c r="D43" i="270"/>
  <c r="C43" i="270"/>
  <c r="I43" i="270" s="1"/>
  <c r="B43" i="270"/>
  <c r="I42" i="270"/>
  <c r="I48" i="270" s="1"/>
  <c r="H42" i="270"/>
  <c r="H48" i="270" s="1"/>
  <c r="G42" i="270"/>
  <c r="G48" i="270" s="1"/>
  <c r="F42" i="270"/>
  <c r="F48" i="270" s="1"/>
  <c r="E42" i="270"/>
  <c r="E48" i="270" s="1"/>
  <c r="D42" i="270"/>
  <c r="D48" i="270" s="1"/>
  <c r="C42" i="270"/>
  <c r="C48" i="270" s="1"/>
  <c r="B42" i="270"/>
  <c r="B41" i="270"/>
  <c r="H40" i="270"/>
  <c r="G40" i="270"/>
  <c r="F40" i="270"/>
  <c r="E40" i="270"/>
  <c r="D40" i="270"/>
  <c r="C40" i="270"/>
  <c r="I40" i="270" s="1"/>
  <c r="B40" i="270"/>
  <c r="I39" i="270"/>
  <c r="H39" i="270"/>
  <c r="G39" i="270"/>
  <c r="F39" i="270"/>
  <c r="E39" i="270"/>
  <c r="D39" i="270"/>
  <c r="C39" i="270"/>
  <c r="B39" i="270"/>
  <c r="H38" i="270"/>
  <c r="I38" i="270" s="1"/>
  <c r="G38" i="270"/>
  <c r="G41" i="270" s="1"/>
  <c r="F38" i="270"/>
  <c r="F41" i="270" s="1"/>
  <c r="E38" i="270"/>
  <c r="D38" i="270"/>
  <c r="C38" i="270"/>
  <c r="B38" i="270"/>
  <c r="H37" i="270"/>
  <c r="G37" i="270"/>
  <c r="F37" i="270"/>
  <c r="E37" i="270"/>
  <c r="E41" i="270" s="1"/>
  <c r="D37" i="270"/>
  <c r="D41" i="270" s="1"/>
  <c r="C37" i="270"/>
  <c r="I37" i="270" s="1"/>
  <c r="B37" i="270"/>
  <c r="I36" i="270"/>
  <c r="H36" i="270"/>
  <c r="G36" i="270"/>
  <c r="F36" i="270"/>
  <c r="E36" i="270"/>
  <c r="D36" i="270"/>
  <c r="C36" i="270"/>
  <c r="B36" i="270"/>
  <c r="B35" i="270"/>
  <c r="H34" i="270"/>
  <c r="G34" i="270"/>
  <c r="F34" i="270"/>
  <c r="E34" i="270"/>
  <c r="D34" i="270"/>
  <c r="C34" i="270"/>
  <c r="I34" i="270" s="1"/>
  <c r="B34" i="270"/>
  <c r="I33" i="270"/>
  <c r="H33" i="270"/>
  <c r="G33" i="270"/>
  <c r="F33" i="270"/>
  <c r="E33" i="270"/>
  <c r="D33" i="270"/>
  <c r="C33" i="270"/>
  <c r="B33" i="270"/>
  <c r="H32" i="270"/>
  <c r="I32" i="270" s="1"/>
  <c r="G32" i="270"/>
  <c r="F32" i="270"/>
  <c r="E32" i="270"/>
  <c r="D32" i="270"/>
  <c r="C32" i="270"/>
  <c r="B32" i="270"/>
  <c r="H31" i="270"/>
  <c r="G31" i="270"/>
  <c r="F31" i="270"/>
  <c r="E31" i="270"/>
  <c r="D31" i="270"/>
  <c r="C31" i="270"/>
  <c r="I31" i="270" s="1"/>
  <c r="B31" i="270"/>
  <c r="I30" i="270"/>
  <c r="H30" i="270"/>
  <c r="G30" i="270"/>
  <c r="F30" i="270"/>
  <c r="E30" i="270"/>
  <c r="D30" i="270"/>
  <c r="C30" i="270"/>
  <c r="B30" i="270"/>
  <c r="H29" i="270"/>
  <c r="I29" i="270" s="1"/>
  <c r="G29" i="270"/>
  <c r="F29" i="270"/>
  <c r="E29" i="270"/>
  <c r="D29" i="270"/>
  <c r="C29" i="270"/>
  <c r="B29" i="270"/>
  <c r="H28" i="270"/>
  <c r="G28" i="270"/>
  <c r="F28" i="270"/>
  <c r="E28" i="270"/>
  <c r="D28" i="270"/>
  <c r="C28" i="270"/>
  <c r="I28" i="270" s="1"/>
  <c r="B28" i="270"/>
  <c r="H27" i="270"/>
  <c r="I27" i="270" s="1"/>
  <c r="G27" i="270"/>
  <c r="F27" i="270"/>
  <c r="E27" i="270"/>
  <c r="D27" i="270"/>
  <c r="C27" i="270"/>
  <c r="B27" i="270"/>
  <c r="H26" i="270"/>
  <c r="I26" i="270" s="1"/>
  <c r="G26" i="270"/>
  <c r="F26" i="270"/>
  <c r="E26" i="270"/>
  <c r="D26" i="270"/>
  <c r="C26" i="270"/>
  <c r="B26" i="270"/>
  <c r="H25" i="270"/>
  <c r="G25" i="270"/>
  <c r="F25" i="270"/>
  <c r="E25" i="270"/>
  <c r="D25" i="270"/>
  <c r="C25" i="270"/>
  <c r="I25" i="270" s="1"/>
  <c r="B25" i="270"/>
  <c r="H24" i="270"/>
  <c r="G24" i="270"/>
  <c r="I24" i="270" s="1"/>
  <c r="F24" i="270"/>
  <c r="E24" i="270"/>
  <c r="D24" i="270"/>
  <c r="C24" i="270"/>
  <c r="B24" i="270"/>
  <c r="H23" i="270"/>
  <c r="I23" i="270" s="1"/>
  <c r="G23" i="270"/>
  <c r="F23" i="270"/>
  <c r="E23" i="270"/>
  <c r="D23" i="270"/>
  <c r="C23" i="270"/>
  <c r="B23" i="270"/>
  <c r="H22" i="270"/>
  <c r="G22" i="270"/>
  <c r="F22" i="270"/>
  <c r="E22" i="270"/>
  <c r="D22" i="270"/>
  <c r="C22" i="270"/>
  <c r="I22" i="270" s="1"/>
  <c r="B22" i="270"/>
  <c r="H21" i="270"/>
  <c r="G21" i="270"/>
  <c r="I21" i="270" s="1"/>
  <c r="F21" i="270"/>
  <c r="E21" i="270"/>
  <c r="D21" i="270"/>
  <c r="C21" i="270"/>
  <c r="B21" i="270"/>
  <c r="H20" i="270"/>
  <c r="I20" i="270" s="1"/>
  <c r="G20" i="270"/>
  <c r="F20" i="270"/>
  <c r="E20" i="270"/>
  <c r="D20" i="270"/>
  <c r="C20" i="270"/>
  <c r="B20" i="270"/>
  <c r="H19" i="270"/>
  <c r="G19" i="270"/>
  <c r="F19" i="270"/>
  <c r="E19" i="270"/>
  <c r="D19" i="270"/>
  <c r="C19" i="270"/>
  <c r="I19" i="270" s="1"/>
  <c r="B19" i="270"/>
  <c r="H18" i="270"/>
  <c r="G18" i="270"/>
  <c r="I18" i="270" s="1"/>
  <c r="F18" i="270"/>
  <c r="E18" i="270"/>
  <c r="D18" i="270"/>
  <c r="C18" i="270"/>
  <c r="B18" i="270"/>
  <c r="H17" i="270"/>
  <c r="I17" i="270" s="1"/>
  <c r="G17" i="270"/>
  <c r="G35" i="270" s="1"/>
  <c r="F17" i="270"/>
  <c r="F35" i="270" s="1"/>
  <c r="F72" i="270" s="1"/>
  <c r="E17" i="270"/>
  <c r="D17" i="270"/>
  <c r="C17" i="270"/>
  <c r="B17" i="270"/>
  <c r="H16" i="270"/>
  <c r="G16" i="270"/>
  <c r="F16" i="270"/>
  <c r="E16" i="270"/>
  <c r="D16" i="270"/>
  <c r="D35" i="270" s="1"/>
  <c r="C16" i="270"/>
  <c r="I16" i="270" s="1"/>
  <c r="B16" i="270"/>
  <c r="H15" i="270"/>
  <c r="G15" i="270"/>
  <c r="I15" i="270" s="1"/>
  <c r="F15" i="270"/>
  <c r="E15" i="270"/>
  <c r="E35" i="270" s="1"/>
  <c r="D15" i="270"/>
  <c r="C15" i="270"/>
  <c r="B15" i="270"/>
  <c r="I316" i="237"/>
  <c r="H316" i="237"/>
  <c r="G316" i="237"/>
  <c r="I313" i="237"/>
  <c r="H313" i="237"/>
  <c r="G313" i="237"/>
  <c r="G311" i="237"/>
  <c r="H311" i="237" s="1"/>
  <c r="G309" i="237"/>
  <c r="I308" i="237"/>
  <c r="H308" i="237"/>
  <c r="G308" i="237"/>
  <c r="G307" i="237"/>
  <c r="G306" i="237" s="1"/>
  <c r="I306" i="237"/>
  <c r="H306" i="237"/>
  <c r="I305" i="237"/>
  <c r="I304" i="237" s="1"/>
  <c r="G305" i="237"/>
  <c r="H304" i="237"/>
  <c r="G304" i="237"/>
  <c r="G302" i="237"/>
  <c r="G301" i="237" s="1"/>
  <c r="I301" i="237"/>
  <c r="H301" i="237"/>
  <c r="G300" i="237"/>
  <c r="G299" i="237" s="1"/>
  <c r="I299" i="237"/>
  <c r="H299" i="237"/>
  <c r="G298" i="237"/>
  <c r="H298" i="237" s="1"/>
  <c r="G297" i="237"/>
  <c r="G296" i="237"/>
  <c r="H296" i="237" s="1"/>
  <c r="I296" i="237" s="1"/>
  <c r="I295" i="237"/>
  <c r="G295" i="237"/>
  <c r="G294" i="237"/>
  <c r="H294" i="237" s="1"/>
  <c r="G292" i="237"/>
  <c r="H292" i="237" s="1"/>
  <c r="I292" i="237" s="1"/>
  <c r="I291" i="237"/>
  <c r="G291" i="237"/>
  <c r="G290" i="237"/>
  <c r="H290" i="237" s="1"/>
  <c r="G289" i="237"/>
  <c r="H287" i="237"/>
  <c r="I287" i="237" s="1"/>
  <c r="I286" i="237" s="1"/>
  <c r="G287" i="237"/>
  <c r="A287" i="237"/>
  <c r="G286" i="237"/>
  <c r="A286" i="237"/>
  <c r="G285" i="237"/>
  <c r="H285" i="237" s="1"/>
  <c r="I285" i="237" s="1"/>
  <c r="G284" i="237"/>
  <c r="H284" i="237" s="1"/>
  <c r="G282" i="237"/>
  <c r="H282" i="237" s="1"/>
  <c r="I282" i="237" s="1"/>
  <c r="G281" i="237"/>
  <c r="G280" i="237" s="1"/>
  <c r="G278" i="237"/>
  <c r="H278" i="237" s="1"/>
  <c r="I278" i="237" s="1"/>
  <c r="A278" i="237"/>
  <c r="H277" i="237"/>
  <c r="I277" i="237" s="1"/>
  <c r="G277" i="237"/>
  <c r="A277" i="237"/>
  <c r="G276" i="237"/>
  <c r="H276" i="237" s="1"/>
  <c r="I276" i="237" s="1"/>
  <c r="A276" i="237"/>
  <c r="G275" i="237"/>
  <c r="G273" i="237" s="1"/>
  <c r="A275" i="237"/>
  <c r="H274" i="237"/>
  <c r="G274" i="237"/>
  <c r="A274" i="237"/>
  <c r="G271" i="237"/>
  <c r="I270" i="237"/>
  <c r="H270" i="237"/>
  <c r="G270" i="237"/>
  <c r="G269" i="237"/>
  <c r="G267" i="237" s="1"/>
  <c r="G268" i="237"/>
  <c r="H266" i="237"/>
  <c r="I266" i="237" s="1"/>
  <c r="I264" i="237" s="1"/>
  <c r="G266" i="237"/>
  <c r="G265" i="237"/>
  <c r="H264" i="237"/>
  <c r="G264" i="237"/>
  <c r="G263" i="237"/>
  <c r="H263" i="237" s="1"/>
  <c r="G262" i="237"/>
  <c r="G261" i="237" s="1"/>
  <c r="G260" i="237"/>
  <c r="H260" i="237" s="1"/>
  <c r="G259" i="237"/>
  <c r="G258" i="237" s="1"/>
  <c r="H257" i="237"/>
  <c r="I257" i="237" s="1"/>
  <c r="I255" i="237" s="1"/>
  <c r="G257" i="237"/>
  <c r="G256" i="237"/>
  <c r="G255" i="237" s="1"/>
  <c r="G253" i="237"/>
  <c r="G252" i="237" s="1"/>
  <c r="I252" i="237"/>
  <c r="H252" i="237"/>
  <c r="G251" i="237"/>
  <c r="I251" i="237" s="1"/>
  <c r="G250" i="237"/>
  <c r="H250" i="237" s="1"/>
  <c r="I250" i="237" s="1"/>
  <c r="G249" i="237"/>
  <c r="I249" i="237" s="1"/>
  <c r="G248" i="237"/>
  <c r="H248" i="237" s="1"/>
  <c r="G246" i="237"/>
  <c r="G245" i="237"/>
  <c r="G244" i="237" s="1"/>
  <c r="H242" i="237"/>
  <c r="I242" i="237" s="1"/>
  <c r="G242" i="237"/>
  <c r="G241" i="237"/>
  <c r="G240" i="237" s="1"/>
  <c r="I239" i="237"/>
  <c r="H239" i="237"/>
  <c r="H238" i="237" s="1"/>
  <c r="G239" i="237"/>
  <c r="G238" i="237" s="1"/>
  <c r="I238" i="237"/>
  <c r="I237" i="237"/>
  <c r="H237" i="237"/>
  <c r="G237" i="237"/>
  <c r="G236" i="237" s="1"/>
  <c r="I236" i="237"/>
  <c r="H236" i="237"/>
  <c r="I235" i="237"/>
  <c r="H235" i="237"/>
  <c r="H233" i="237" s="1"/>
  <c r="G235" i="237"/>
  <c r="G234" i="237"/>
  <c r="G233" i="237" s="1"/>
  <c r="I233" i="237"/>
  <c r="H232" i="237"/>
  <c r="H231" i="237" s="1"/>
  <c r="I231" i="237" s="1"/>
  <c r="G232" i="237"/>
  <c r="G231" i="237"/>
  <c r="G230" i="237"/>
  <c r="H230" i="237" s="1"/>
  <c r="I230" i="237" s="1"/>
  <c r="G227" i="237"/>
  <c r="H227" i="237" s="1"/>
  <c r="G225" i="237"/>
  <c r="H225" i="237" s="1"/>
  <c r="I225" i="237" s="1"/>
  <c r="H224" i="237"/>
  <c r="I224" i="237" s="1"/>
  <c r="G224" i="237"/>
  <c r="G223" i="237"/>
  <c r="H223" i="237" s="1"/>
  <c r="I221" i="237"/>
  <c r="H221" i="237"/>
  <c r="G221" i="237"/>
  <c r="I220" i="237"/>
  <c r="H220" i="237"/>
  <c r="G220" i="237"/>
  <c r="G219" i="237"/>
  <c r="G218" i="237" s="1"/>
  <c r="I218" i="237"/>
  <c r="H218" i="237"/>
  <c r="G217" i="237"/>
  <c r="H217" i="237" s="1"/>
  <c r="G216" i="237"/>
  <c r="G215" i="237"/>
  <c r="H215" i="237" s="1"/>
  <c r="I215" i="237" s="1"/>
  <c r="G214" i="237"/>
  <c r="I213" i="237"/>
  <c r="G213" i="237"/>
  <c r="G211" i="237" s="1"/>
  <c r="G212" i="237"/>
  <c r="H212" i="237" s="1"/>
  <c r="G210" i="237"/>
  <c r="G209" i="237" s="1"/>
  <c r="G208" i="237"/>
  <c r="H208" i="237" s="1"/>
  <c r="I208" i="237" s="1"/>
  <c r="G207" i="237"/>
  <c r="H207" i="237" s="1"/>
  <c r="G206" i="237"/>
  <c r="G205" i="237"/>
  <c r="I204" i="237"/>
  <c r="H204" i="237"/>
  <c r="G204" i="237"/>
  <c r="I203" i="237"/>
  <c r="H203" i="237"/>
  <c r="G203" i="237"/>
  <c r="G202" i="237"/>
  <c r="H202" i="237" s="1"/>
  <c r="I202" i="237" s="1"/>
  <c r="G201" i="237"/>
  <c r="I200" i="237"/>
  <c r="G200" i="237"/>
  <c r="H199" i="237"/>
  <c r="I199" i="237" s="1"/>
  <c r="I198" i="237" s="1"/>
  <c r="G199" i="237"/>
  <c r="G198" i="237" s="1"/>
  <c r="H196" i="237"/>
  <c r="I196" i="237" s="1"/>
  <c r="G196" i="237"/>
  <c r="H195" i="237"/>
  <c r="I195" i="237" s="1"/>
  <c r="G195" i="237"/>
  <c r="H194" i="237"/>
  <c r="I194" i="237" s="1"/>
  <c r="G194" i="237"/>
  <c r="G193" i="237"/>
  <c r="G192" i="237"/>
  <c r="I191" i="237"/>
  <c r="G191" i="237"/>
  <c r="G190" i="237"/>
  <c r="H190" i="237" s="1"/>
  <c r="G188" i="237"/>
  <c r="H188" i="237" s="1"/>
  <c r="G186" i="237"/>
  <c r="H186" i="237" s="1"/>
  <c r="G184" i="237"/>
  <c r="H184" i="237" s="1"/>
  <c r="I184" i="237" s="1"/>
  <c r="H183" i="237"/>
  <c r="I183" i="237" s="1"/>
  <c r="G183" i="237"/>
  <c r="G182" i="237"/>
  <c r="H182" i="237" s="1"/>
  <c r="I179" i="237"/>
  <c r="H179" i="237"/>
  <c r="H178" i="237" s="1"/>
  <c r="G179" i="237"/>
  <c r="G178" i="237" s="1"/>
  <c r="I178" i="237"/>
  <c r="G177" i="237"/>
  <c r="H177" i="237" s="1"/>
  <c r="G176" i="237"/>
  <c r="G175" i="237"/>
  <c r="G174" i="237" s="1"/>
  <c r="I173" i="237"/>
  <c r="I172" i="237" s="1"/>
  <c r="H173" i="237"/>
  <c r="H172" i="237" s="1"/>
  <c r="G173" i="237"/>
  <c r="G172" i="237"/>
  <c r="H171" i="237"/>
  <c r="I171" i="237" s="1"/>
  <c r="G171" i="237"/>
  <c r="G170" i="237"/>
  <c r="H170" i="237" s="1"/>
  <c r="I170" i="237" s="1"/>
  <c r="G169" i="237"/>
  <c r="G167" i="237" s="1"/>
  <c r="G168" i="237"/>
  <c r="H168" i="237" s="1"/>
  <c r="I166" i="237"/>
  <c r="I165" i="237" s="1"/>
  <c r="H166" i="237"/>
  <c r="H165" i="237" s="1"/>
  <c r="G166" i="237"/>
  <c r="G165" i="237" s="1"/>
  <c r="I164" i="237"/>
  <c r="I163" i="237" s="1"/>
  <c r="H164" i="237"/>
  <c r="G164" i="237"/>
  <c r="H163" i="237"/>
  <c r="G163" i="237"/>
  <c r="I162" i="237"/>
  <c r="I161" i="237" s="1"/>
  <c r="H162" i="237"/>
  <c r="H161" i="237" s="1"/>
  <c r="G162" i="237"/>
  <c r="G161" i="237" s="1"/>
  <c r="G160" i="237"/>
  <c r="H160" i="237" s="1"/>
  <c r="I160" i="237" s="1"/>
  <c r="G159" i="237"/>
  <c r="H159" i="237" s="1"/>
  <c r="G158" i="237"/>
  <c r="I157" i="237"/>
  <c r="G157" i="237"/>
  <c r="G156" i="237" s="1"/>
  <c r="I156" i="237"/>
  <c r="H156" i="237"/>
  <c r="G154" i="237"/>
  <c r="I153" i="237"/>
  <c r="H153" i="237"/>
  <c r="G153" i="237"/>
  <c r="G152" i="237"/>
  <c r="H152" i="237" s="1"/>
  <c r="I152" i="237" s="1"/>
  <c r="G151" i="237"/>
  <c r="H151" i="237" s="1"/>
  <c r="I151" i="237" s="1"/>
  <c r="G150" i="237"/>
  <c r="G149" i="237"/>
  <c r="G148" i="237" s="1"/>
  <c r="H147" i="237"/>
  <c r="I147" i="237" s="1"/>
  <c r="G147" i="237"/>
  <c r="G146" i="237"/>
  <c r="H146" i="237" s="1"/>
  <c r="G144" i="237"/>
  <c r="G143" i="237" s="1"/>
  <c r="I143" i="237"/>
  <c r="G140" i="237"/>
  <c r="G139" i="237" s="1"/>
  <c r="I139" i="237"/>
  <c r="H139" i="237"/>
  <c r="H138" i="237"/>
  <c r="I138" i="237" s="1"/>
  <c r="I136" i="237" s="1"/>
  <c r="G138" i="237"/>
  <c r="I137" i="237"/>
  <c r="G137" i="237"/>
  <c r="G135" i="237"/>
  <c r="G134" i="237" s="1"/>
  <c r="I134" i="237"/>
  <c r="H134" i="237"/>
  <c r="G133" i="237"/>
  <c r="G132" i="237" s="1"/>
  <c r="I132" i="237"/>
  <c r="H132" i="237"/>
  <c r="G131" i="237"/>
  <c r="G130" i="237" s="1"/>
  <c r="I130" i="237"/>
  <c r="H130" i="237"/>
  <c r="I129" i="237"/>
  <c r="I128" i="237" s="1"/>
  <c r="H129" i="237"/>
  <c r="H128" i="237" s="1"/>
  <c r="G129" i="237"/>
  <c r="G128" i="237" s="1"/>
  <c r="G127" i="237"/>
  <c r="I126" i="237"/>
  <c r="H126" i="237"/>
  <c r="G126" i="237"/>
  <c r="G125" i="237"/>
  <c r="H125" i="237" s="1"/>
  <c r="I125" i="237" s="1"/>
  <c r="H124" i="237"/>
  <c r="I124" i="237" s="1"/>
  <c r="G124" i="237"/>
  <c r="H123" i="237"/>
  <c r="I123" i="237" s="1"/>
  <c r="I122" i="237" s="1"/>
  <c r="G123" i="237"/>
  <c r="G122" i="237"/>
  <c r="G121" i="237"/>
  <c r="G120" i="237" s="1"/>
  <c r="H119" i="237"/>
  <c r="I119" i="237" s="1"/>
  <c r="I118" i="237" s="1"/>
  <c r="G119" i="237"/>
  <c r="G118" i="237"/>
  <c r="G117" i="237"/>
  <c r="G116" i="237"/>
  <c r="I115" i="237"/>
  <c r="H115" i="237"/>
  <c r="G115" i="237"/>
  <c r="G114" i="237"/>
  <c r="H114" i="237" s="1"/>
  <c r="I114" i="237" s="1"/>
  <c r="G113" i="237"/>
  <c r="H113" i="237" s="1"/>
  <c r="G110" i="237"/>
  <c r="I110" i="237" s="1"/>
  <c r="I109" i="237" s="1"/>
  <c r="G108" i="237"/>
  <c r="H108" i="237" s="1"/>
  <c r="G107" i="237"/>
  <c r="G106" i="237"/>
  <c r="H106" i="237" s="1"/>
  <c r="I105" i="237"/>
  <c r="H105" i="237"/>
  <c r="G105" i="237"/>
  <c r="G104" i="237" s="1"/>
  <c r="G103" i="237"/>
  <c r="G102" i="237" s="1"/>
  <c r="A103" i="237"/>
  <c r="A102" i="237" s="1"/>
  <c r="I101" i="237"/>
  <c r="H101" i="237"/>
  <c r="G101" i="237"/>
  <c r="G100" i="237"/>
  <c r="I99" i="237"/>
  <c r="I97" i="237" s="1"/>
  <c r="H99" i="237"/>
  <c r="G99" i="237"/>
  <c r="I98" i="237"/>
  <c r="H98" i="237"/>
  <c r="H97" i="237" s="1"/>
  <c r="G98" i="237"/>
  <c r="G97" i="237" s="1"/>
  <c r="G96" i="237"/>
  <c r="G94" i="237" s="1"/>
  <c r="G95" i="237"/>
  <c r="I94" i="237"/>
  <c r="H94" i="237"/>
  <c r="H91" i="237"/>
  <c r="I91" i="237" s="1"/>
  <c r="G91" i="237"/>
  <c r="H90" i="237"/>
  <c r="I90" i="237" s="1"/>
  <c r="G90" i="237"/>
  <c r="G89" i="237"/>
  <c r="H89" i="237" s="1"/>
  <c r="H87" i="237"/>
  <c r="I87" i="237" s="1"/>
  <c r="I86" i="237" s="1"/>
  <c r="G87" i="237"/>
  <c r="G86" i="237"/>
  <c r="I85" i="237"/>
  <c r="I84" i="237" s="1"/>
  <c r="G85" i="237"/>
  <c r="H84" i="237"/>
  <c r="G84" i="237"/>
  <c r="G80" i="237"/>
  <c r="H80" i="237" s="1"/>
  <c r="I80" i="237" s="1"/>
  <c r="G79" i="237"/>
  <c r="H79" i="237" s="1"/>
  <c r="I79" i="237" s="1"/>
  <c r="G78" i="237"/>
  <c r="I78" i="237" s="1"/>
  <c r="I77" i="237"/>
  <c r="G77" i="237"/>
  <c r="H77" i="237" s="1"/>
  <c r="G75" i="237"/>
  <c r="I75" i="237" s="1"/>
  <c r="G74" i="237"/>
  <c r="I74" i="237" s="1"/>
  <c r="I73" i="237" s="1"/>
  <c r="G72" i="237"/>
  <c r="G71" i="237" s="1"/>
  <c r="I71" i="237"/>
  <c r="H71" i="237"/>
  <c r="G70" i="237"/>
  <c r="G69" i="237" s="1"/>
  <c r="I69" i="237"/>
  <c r="H69" i="237"/>
  <c r="G68" i="237"/>
  <c r="G67" i="237" s="1"/>
  <c r="I67" i="237"/>
  <c r="H67" i="237"/>
  <c r="I65" i="237"/>
  <c r="I64" i="237" s="1"/>
  <c r="H65" i="237"/>
  <c r="H64" i="237" s="1"/>
  <c r="G65" i="237"/>
  <c r="G64" i="237" s="1"/>
  <c r="G63" i="237"/>
  <c r="H63" i="237" s="1"/>
  <c r="I63" i="237" s="1"/>
  <c r="G62" i="237"/>
  <c r="G61" i="237" s="1"/>
  <c r="G60" i="237"/>
  <c r="I60" i="237" s="1"/>
  <c r="I59" i="237"/>
  <c r="G59" i="237"/>
  <c r="H59" i="237" s="1"/>
  <c r="G58" i="237"/>
  <c r="G57" i="237" s="1"/>
  <c r="I56" i="237"/>
  <c r="H56" i="237"/>
  <c r="G56" i="237"/>
  <c r="G55" i="237" s="1"/>
  <c r="I55" i="237"/>
  <c r="H55" i="237"/>
  <c r="G54" i="237"/>
  <c r="H54" i="237" s="1"/>
  <c r="I54" i="237" s="1"/>
  <c r="G53" i="237"/>
  <c r="H53" i="237" s="1"/>
  <c r="I53" i="237" s="1"/>
  <c r="G51" i="237"/>
  <c r="H51" i="237" s="1"/>
  <c r="I51" i="237" s="1"/>
  <c r="G50" i="237"/>
  <c r="G49" i="237" s="1"/>
  <c r="G48" i="237"/>
  <c r="I48" i="237" s="1"/>
  <c r="I47" i="237"/>
  <c r="G47" i="237"/>
  <c r="H47" i="237" s="1"/>
  <c r="G46" i="237"/>
  <c r="G45" i="237" s="1"/>
  <c r="G44" i="237"/>
  <c r="H44" i="237" s="1"/>
  <c r="G42" i="237"/>
  <c r="G41" i="237" s="1"/>
  <c r="G40" i="237"/>
  <c r="H40" i="237" s="1"/>
  <c r="G38" i="237"/>
  <c r="H38" i="237" s="1"/>
  <c r="I38" i="237" s="1"/>
  <c r="G37" i="237"/>
  <c r="H37" i="237" s="1"/>
  <c r="I37" i="237" s="1"/>
  <c r="G36" i="237"/>
  <c r="H36" i="237" s="1"/>
  <c r="G34" i="237"/>
  <c r="G33" i="237" s="1"/>
  <c r="I33" i="237"/>
  <c r="H33" i="237"/>
  <c r="H32" i="237"/>
  <c r="I32" i="237" s="1"/>
  <c r="G32" i="237"/>
  <c r="G31" i="237"/>
  <c r="H31" i="237" s="1"/>
  <c r="I31" i="237" s="1"/>
  <c r="G30" i="237"/>
  <c r="G29" i="237" s="1"/>
  <c r="I28" i="237"/>
  <c r="I27" i="237" s="1"/>
  <c r="H28" i="237"/>
  <c r="H27" i="237" s="1"/>
  <c r="G28" i="237"/>
  <c r="G27" i="237"/>
  <c r="G26" i="237"/>
  <c r="G25" i="237" s="1"/>
  <c r="A26" i="237"/>
  <c r="A25" i="237"/>
  <c r="G24" i="237"/>
  <c r="H24" i="237" s="1"/>
  <c r="I24" i="237" s="1"/>
  <c r="A24" i="237"/>
  <c r="G23" i="237"/>
  <c r="H23" i="237" s="1"/>
  <c r="I23" i="237" s="1"/>
  <c r="A23" i="237"/>
  <c r="I22" i="237"/>
  <c r="I21" i="237" s="1"/>
  <c r="G22" i="237"/>
  <c r="G21" i="237" s="1"/>
  <c r="H21" i="237"/>
  <c r="G20" i="237"/>
  <c r="H20" i="237" s="1"/>
  <c r="I20" i="237" s="1"/>
  <c r="I19" i="237"/>
  <c r="G19" i="237"/>
  <c r="G18" i="237"/>
  <c r="G17" i="237" s="1"/>
  <c r="G16" i="237"/>
  <c r="H16" i="237" s="1"/>
  <c r="I16" i="237" s="1"/>
  <c r="G15" i="237"/>
  <c r="H15" i="237" s="1"/>
  <c r="G14" i="237"/>
  <c r="I13" i="237"/>
  <c r="H13" i="237"/>
  <c r="G13" i="237"/>
  <c r="G12" i="237"/>
  <c r="H12" i="237" s="1"/>
  <c r="I12" i="237" s="1"/>
  <c r="G11" i="237"/>
  <c r="H11" i="237" s="1"/>
  <c r="G10" i="237"/>
  <c r="F40" i="219" l="1"/>
  <c r="E40" i="219"/>
  <c r="E12" i="451"/>
  <c r="E43" i="451" s="1"/>
  <c r="D43" i="451"/>
  <c r="C43" i="451"/>
  <c r="C52" i="451" s="1"/>
  <c r="C53" i="451" s="1"/>
  <c r="H31" i="456"/>
  <c r="G31" i="456"/>
  <c r="H39" i="456"/>
  <c r="G39" i="456"/>
  <c r="H27" i="456"/>
  <c r="G27" i="456"/>
  <c r="H12" i="456"/>
  <c r="G12" i="456"/>
  <c r="H16" i="456"/>
  <c r="G16" i="456"/>
  <c r="H20" i="456"/>
  <c r="G20" i="456"/>
  <c r="H24" i="456"/>
  <c r="G24" i="456"/>
  <c r="H28" i="456"/>
  <c r="G28" i="456"/>
  <c r="H32" i="456"/>
  <c r="G32" i="456"/>
  <c r="H36" i="456"/>
  <c r="G36" i="456"/>
  <c r="H35" i="456"/>
  <c r="G35" i="456"/>
  <c r="H19" i="456"/>
  <c r="G19" i="456"/>
  <c r="G40" i="456"/>
  <c r="H40" i="456"/>
  <c r="H23" i="456"/>
  <c r="G23" i="456"/>
  <c r="H13" i="456"/>
  <c r="G13" i="456"/>
  <c r="H17" i="456"/>
  <c r="G17" i="456"/>
  <c r="H21" i="456"/>
  <c r="G21" i="456"/>
  <c r="H25" i="456"/>
  <c r="G25" i="456"/>
  <c r="H29" i="456"/>
  <c r="G29" i="456"/>
  <c r="H33" i="456"/>
  <c r="G33" i="456"/>
  <c r="H37" i="456"/>
  <c r="G37" i="456"/>
  <c r="H38" i="456"/>
  <c r="G38" i="456"/>
  <c r="H15" i="456"/>
  <c r="G15" i="456"/>
  <c r="H41" i="456"/>
  <c r="G41" i="456"/>
  <c r="D42" i="456"/>
  <c r="H11" i="456"/>
  <c r="G11" i="456"/>
  <c r="H14" i="456"/>
  <c r="G14" i="456"/>
  <c r="H18" i="456"/>
  <c r="G18" i="456"/>
  <c r="H22" i="456"/>
  <c r="G22" i="456"/>
  <c r="H26" i="456"/>
  <c r="G26" i="456"/>
  <c r="H30" i="456"/>
  <c r="G30" i="456"/>
  <c r="H34" i="456"/>
  <c r="G34" i="456"/>
  <c r="E42" i="456"/>
  <c r="B28" i="246"/>
  <c r="C23" i="246"/>
  <c r="D23" i="246" s="1"/>
  <c r="C17" i="246"/>
  <c r="D17" i="246" s="1"/>
  <c r="C11" i="246"/>
  <c r="D11" i="246" s="1"/>
  <c r="C24" i="246"/>
  <c r="D24" i="246" s="1"/>
  <c r="C18" i="246"/>
  <c r="D18" i="246" s="1"/>
  <c r="C12" i="246"/>
  <c r="D12" i="246" s="1"/>
  <c r="C10" i="246"/>
  <c r="D10" i="246" s="1"/>
  <c r="C22" i="246"/>
  <c r="D22" i="246" s="1"/>
  <c r="C25" i="246"/>
  <c r="D25" i="246" s="1"/>
  <c r="C19" i="246"/>
  <c r="D19" i="246" s="1"/>
  <c r="C13" i="246"/>
  <c r="D13" i="246" s="1"/>
  <c r="C16" i="246"/>
  <c r="D16" i="246" s="1"/>
  <c r="C26" i="246"/>
  <c r="D26" i="246" s="1"/>
  <c r="C20" i="246"/>
  <c r="D20" i="246" s="1"/>
  <c r="C14" i="246"/>
  <c r="D14" i="246" s="1"/>
  <c r="C8" i="246"/>
  <c r="C27" i="246"/>
  <c r="D27" i="246" s="1"/>
  <c r="C21" i="246"/>
  <c r="D21" i="246" s="1"/>
  <c r="C15" i="246"/>
  <c r="D15" i="246" s="1"/>
  <c r="C9" i="246"/>
  <c r="D9" i="246" s="1"/>
  <c r="B30" i="299"/>
  <c r="H10" i="299"/>
  <c r="C30" i="299"/>
  <c r="F30" i="299"/>
  <c r="D43" i="317"/>
  <c r="D58" i="317" s="1"/>
  <c r="D59" i="317" s="1"/>
  <c r="S25" i="247"/>
  <c r="D32" i="247"/>
  <c r="P17" i="247"/>
  <c r="S17" i="247" s="1"/>
  <c r="P29" i="247"/>
  <c r="S29" i="247" s="1"/>
  <c r="R16" i="247"/>
  <c r="R32" i="247" s="1"/>
  <c r="R28" i="247"/>
  <c r="P22" i="247"/>
  <c r="S22" i="247" s="1"/>
  <c r="P12" i="247"/>
  <c r="P24" i="247"/>
  <c r="S24" i="247" s="1"/>
  <c r="C32" i="247"/>
  <c r="O32" i="247"/>
  <c r="P14" i="247"/>
  <c r="S14" i="247" s="1"/>
  <c r="P26" i="247"/>
  <c r="S26" i="247" s="1"/>
  <c r="E12" i="513"/>
  <c r="J48" i="211"/>
  <c r="C48" i="211" s="1"/>
  <c r="Q48" i="211" s="1"/>
  <c r="R48" i="211" s="1"/>
  <c r="C49" i="211"/>
  <c r="Q49" i="211" s="1"/>
  <c r="R49" i="211" s="1"/>
  <c r="J49" i="211"/>
  <c r="J59" i="211"/>
  <c r="C59" i="211" s="1"/>
  <c r="Q59" i="211" s="1"/>
  <c r="R59" i="211" s="1"/>
  <c r="C18" i="211"/>
  <c r="Q18" i="211" s="1"/>
  <c r="R18" i="211" s="1"/>
  <c r="J18" i="211"/>
  <c r="C30" i="211"/>
  <c r="Q30" i="211" s="1"/>
  <c r="R30" i="211" s="1"/>
  <c r="J30" i="211"/>
  <c r="J28" i="211"/>
  <c r="C28" i="211" s="1"/>
  <c r="Q28" i="211" s="1"/>
  <c r="R28" i="211" s="1"/>
  <c r="J23" i="211"/>
  <c r="C23" i="211" s="1"/>
  <c r="Q23" i="211" s="1"/>
  <c r="R23" i="211" s="1"/>
  <c r="J35" i="211"/>
  <c r="C35" i="211" s="1"/>
  <c r="Q35" i="211" s="1"/>
  <c r="R35" i="211" s="1"/>
  <c r="J54" i="211"/>
  <c r="C54" i="211" s="1"/>
  <c r="Q54" i="211" s="1"/>
  <c r="R54" i="211" s="1"/>
  <c r="J13" i="211"/>
  <c r="C13" i="211" s="1"/>
  <c r="Q13" i="211" s="1"/>
  <c r="R13" i="211" s="1"/>
  <c r="J25" i="211"/>
  <c r="C25" i="211" s="1"/>
  <c r="Q25" i="211" s="1"/>
  <c r="R25" i="211" s="1"/>
  <c r="J37" i="211"/>
  <c r="C37" i="211" s="1"/>
  <c r="Q37" i="211" s="1"/>
  <c r="R37" i="211" s="1"/>
  <c r="J16" i="211"/>
  <c r="C16" i="211" s="1"/>
  <c r="Q16" i="211" s="1"/>
  <c r="R16" i="211" s="1"/>
  <c r="J52" i="211"/>
  <c r="C52" i="211" s="1"/>
  <c r="Q52" i="211" s="1"/>
  <c r="R52" i="211" s="1"/>
  <c r="J53" i="211"/>
  <c r="C53" i="211"/>
  <c r="Q53" i="211" s="1"/>
  <c r="R53" i="211" s="1"/>
  <c r="G61" i="211"/>
  <c r="C20" i="211"/>
  <c r="Q20" i="211" s="1"/>
  <c r="R20" i="211" s="1"/>
  <c r="J20" i="211"/>
  <c r="J32" i="211"/>
  <c r="C32" i="211" s="1"/>
  <c r="Q32" i="211" s="1"/>
  <c r="R32" i="211" s="1"/>
  <c r="C51" i="211"/>
  <c r="Q51" i="211" s="1"/>
  <c r="R51" i="211" s="1"/>
  <c r="C47" i="211"/>
  <c r="Q47" i="211" s="1"/>
  <c r="R47" i="211" s="1"/>
  <c r="J47" i="211"/>
  <c r="J55" i="211"/>
  <c r="C55" i="211" s="1"/>
  <c r="Q55" i="211" s="1"/>
  <c r="R55" i="211" s="1"/>
  <c r="K61" i="211"/>
  <c r="J15" i="211"/>
  <c r="C15" i="211" s="1"/>
  <c r="Q15" i="211" s="1"/>
  <c r="R15" i="211" s="1"/>
  <c r="J27" i="211"/>
  <c r="C27" i="211" s="1"/>
  <c r="Q27" i="211" s="1"/>
  <c r="R27" i="211" s="1"/>
  <c r="J39" i="211"/>
  <c r="C39" i="211" s="1"/>
  <c r="Q39" i="211" s="1"/>
  <c r="R39" i="211" s="1"/>
  <c r="J22" i="211"/>
  <c r="C22" i="211" s="1"/>
  <c r="Q22" i="211" s="1"/>
  <c r="R22" i="211" s="1"/>
  <c r="J34" i="211"/>
  <c r="C34" i="211" s="1"/>
  <c r="Q34" i="211" s="1"/>
  <c r="R34" i="211" s="1"/>
  <c r="J58" i="211"/>
  <c r="C58" i="211" s="1"/>
  <c r="Q58" i="211" s="1"/>
  <c r="R58" i="211" s="1"/>
  <c r="J17" i="211"/>
  <c r="C17" i="211" s="1"/>
  <c r="Q17" i="211" s="1"/>
  <c r="R17" i="211" s="1"/>
  <c r="J29" i="211"/>
  <c r="C29" i="211" s="1"/>
  <c r="Q29" i="211" s="1"/>
  <c r="R29" i="211" s="1"/>
  <c r="J41" i="211"/>
  <c r="C41" i="211" s="1"/>
  <c r="Q41" i="211" s="1"/>
  <c r="R41" i="211" s="1"/>
  <c r="J50" i="211"/>
  <c r="C50" i="211"/>
  <c r="Q50" i="211" s="1"/>
  <c r="R50" i="211" s="1"/>
  <c r="J57" i="211"/>
  <c r="C57" i="211" s="1"/>
  <c r="Q57" i="211" s="1"/>
  <c r="R57" i="211" s="1"/>
  <c r="J12" i="211"/>
  <c r="C12" i="211" s="1"/>
  <c r="Q12" i="211" s="1"/>
  <c r="R12" i="211" s="1"/>
  <c r="J24" i="211"/>
  <c r="C24" i="211" s="1"/>
  <c r="Q24" i="211" s="1"/>
  <c r="R24" i="211" s="1"/>
  <c r="J36" i="211"/>
  <c r="C36" i="211" s="1"/>
  <c r="Q36" i="211" s="1"/>
  <c r="R36" i="211" s="1"/>
  <c r="J19" i="211"/>
  <c r="C19" i="211" s="1"/>
  <c r="Q19" i="211" s="1"/>
  <c r="R19" i="211" s="1"/>
  <c r="J31" i="211"/>
  <c r="C31" i="211" s="1"/>
  <c r="Q31" i="211" s="1"/>
  <c r="R31" i="211" s="1"/>
  <c r="J40" i="211"/>
  <c r="C40" i="211" s="1"/>
  <c r="Q40" i="211" s="1"/>
  <c r="R40" i="211" s="1"/>
  <c r="J14" i="211"/>
  <c r="C14" i="211" s="1"/>
  <c r="Q14" i="211" s="1"/>
  <c r="R14" i="211" s="1"/>
  <c r="J26" i="211"/>
  <c r="C26" i="211" s="1"/>
  <c r="Q26" i="211" s="1"/>
  <c r="R26" i="211" s="1"/>
  <c r="J38" i="211"/>
  <c r="C38" i="211" s="1"/>
  <c r="Q38" i="211" s="1"/>
  <c r="R38" i="211" s="1"/>
  <c r="J21" i="211"/>
  <c r="C21" i="211" s="1"/>
  <c r="Q21" i="211" s="1"/>
  <c r="R21" i="211" s="1"/>
  <c r="J33" i="211"/>
  <c r="C33" i="211" s="1"/>
  <c r="Q33" i="211" s="1"/>
  <c r="R33" i="211" s="1"/>
  <c r="J43" i="211"/>
  <c r="C43" i="211"/>
  <c r="H44" i="211"/>
  <c r="H60" i="211" s="1"/>
  <c r="C45" i="211"/>
  <c r="Q45" i="211" s="1"/>
  <c r="R45" i="211" s="1"/>
  <c r="J51" i="211"/>
  <c r="J56" i="211"/>
  <c r="C56" i="211" s="1"/>
  <c r="Q56" i="211" s="1"/>
  <c r="R56" i="211" s="1"/>
  <c r="H11" i="211"/>
  <c r="F60" i="211"/>
  <c r="F61" i="211" s="1"/>
  <c r="D12" i="261"/>
  <c r="D11" i="253"/>
  <c r="G17" i="385"/>
  <c r="G15" i="385" s="1"/>
  <c r="H17" i="385"/>
  <c r="H15" i="385" s="1"/>
  <c r="I17" i="385"/>
  <c r="I15" i="385" s="1"/>
  <c r="C42" i="381"/>
  <c r="C15" i="381"/>
  <c r="C13" i="311"/>
  <c r="E66" i="252"/>
  <c r="E68" i="252"/>
  <c r="I108" i="489"/>
  <c r="I292" i="489" s="1"/>
  <c r="J292" i="489"/>
  <c r="I275" i="489"/>
  <c r="C11" i="251"/>
  <c r="D11" i="251"/>
  <c r="B11" i="251"/>
  <c r="G72" i="270"/>
  <c r="I41" i="270"/>
  <c r="I76" i="270"/>
  <c r="D72" i="270"/>
  <c r="E72" i="270"/>
  <c r="I71" i="270"/>
  <c r="I77" i="270"/>
  <c r="I35" i="270"/>
  <c r="I75" i="270" s="1"/>
  <c r="C35" i="270"/>
  <c r="C41" i="270"/>
  <c r="H35" i="270"/>
  <c r="H72" i="270" s="1"/>
  <c r="H41" i="270"/>
  <c r="I52" i="270"/>
  <c r="I36" i="237"/>
  <c r="I35" i="237" s="1"/>
  <c r="H35" i="237"/>
  <c r="I113" i="237"/>
  <c r="I112" i="237" s="1"/>
  <c r="H112" i="237"/>
  <c r="I168" i="237"/>
  <c r="I167" i="237" s="1"/>
  <c r="H167" i="237"/>
  <c r="I188" i="237"/>
  <c r="I187" i="237" s="1"/>
  <c r="H187" i="237"/>
  <c r="I260" i="237"/>
  <c r="I258" i="237" s="1"/>
  <c r="H258" i="237"/>
  <c r="I290" i="237"/>
  <c r="I289" i="237" s="1"/>
  <c r="H289" i="237"/>
  <c r="I108" i="237"/>
  <c r="I107" i="237" s="1"/>
  <c r="H107" i="237"/>
  <c r="H189" i="237"/>
  <c r="I190" i="237"/>
  <c r="I189" i="237" s="1"/>
  <c r="H226" i="237"/>
  <c r="I227" i="237"/>
  <c r="I226" i="237" s="1"/>
  <c r="I248" i="237"/>
  <c r="I247" i="237" s="1"/>
  <c r="H247" i="237"/>
  <c r="I11" i="237"/>
  <c r="I10" i="237" s="1"/>
  <c r="H10" i="237"/>
  <c r="I40" i="237"/>
  <c r="I39" i="237" s="1"/>
  <c r="H39" i="237"/>
  <c r="I177" i="237"/>
  <c r="I176" i="237" s="1"/>
  <c r="H176" i="237"/>
  <c r="I207" i="237"/>
  <c r="I206" i="237" s="1"/>
  <c r="H206" i="237"/>
  <c r="H261" i="237"/>
  <c r="I263" i="237"/>
  <c r="I261" i="237" s="1"/>
  <c r="G279" i="237"/>
  <c r="I217" i="237"/>
  <c r="I216" i="237" s="1"/>
  <c r="H216" i="237"/>
  <c r="I76" i="237"/>
  <c r="I311" i="237"/>
  <c r="I310" i="237" s="1"/>
  <c r="H310" i="237"/>
  <c r="H303" i="237" s="1"/>
  <c r="I44" i="237"/>
  <c r="I43" i="237" s="1"/>
  <c r="H43" i="237"/>
  <c r="I66" i="237"/>
  <c r="H88" i="237"/>
  <c r="I89" i="237"/>
  <c r="I88" i="237" s="1"/>
  <c r="H273" i="237"/>
  <c r="I284" i="237"/>
  <c r="I283" i="237" s="1"/>
  <c r="H283" i="237"/>
  <c r="I294" i="237"/>
  <c r="I212" i="237"/>
  <c r="I211" i="237" s="1"/>
  <c r="H211" i="237"/>
  <c r="I146" i="237"/>
  <c r="I145" i="237" s="1"/>
  <c r="H145" i="237"/>
  <c r="I182" i="237"/>
  <c r="I303" i="237"/>
  <c r="I159" i="237"/>
  <c r="I158" i="237" s="1"/>
  <c r="H158" i="237"/>
  <c r="H185" i="237"/>
  <c r="H181" i="237" s="1"/>
  <c r="H180" i="237" s="1"/>
  <c r="I186" i="237"/>
  <c r="I185" i="237" s="1"/>
  <c r="I15" i="237"/>
  <c r="I14" i="237" s="1"/>
  <c r="H14" i="237"/>
  <c r="I106" i="237"/>
  <c r="I104" i="237" s="1"/>
  <c r="H104" i="237"/>
  <c r="G155" i="237"/>
  <c r="G254" i="237"/>
  <c r="I49" i="237"/>
  <c r="H49" i="237"/>
  <c r="G136" i="237"/>
  <c r="H222" i="237"/>
  <c r="I223" i="237"/>
  <c r="I298" i="237"/>
  <c r="I297" i="237" s="1"/>
  <c r="H297" i="237"/>
  <c r="H293" i="237" s="1"/>
  <c r="G76" i="237"/>
  <c r="H18" i="237"/>
  <c r="H42" i="237"/>
  <c r="H46" i="237"/>
  <c r="H45" i="237" s="1"/>
  <c r="H50" i="237"/>
  <c r="I50" i="237" s="1"/>
  <c r="H58" i="237"/>
  <c r="H57" i="237" s="1"/>
  <c r="H62" i="237"/>
  <c r="H103" i="237"/>
  <c r="G187" i="237"/>
  <c r="H210" i="237"/>
  <c r="H249" i="237"/>
  <c r="H269" i="237"/>
  <c r="I274" i="237"/>
  <c r="H281" i="237"/>
  <c r="G293" i="237"/>
  <c r="G288" i="237" s="1"/>
  <c r="I46" i="237"/>
  <c r="I45" i="237" s="1"/>
  <c r="I58" i="237"/>
  <c r="I57" i="237" s="1"/>
  <c r="H86" i="237"/>
  <c r="G145" i="237"/>
  <c r="H26" i="237"/>
  <c r="H30" i="237"/>
  <c r="G35" i="237"/>
  <c r="G9" i="237" s="1"/>
  <c r="G39" i="237"/>
  <c r="G43" i="237"/>
  <c r="G73" i="237"/>
  <c r="G66" i="237" s="1"/>
  <c r="G112" i="237"/>
  <c r="H121" i="237"/>
  <c r="H149" i="237"/>
  <c r="I232" i="237"/>
  <c r="H241" i="237"/>
  <c r="H245" i="237"/>
  <c r="H136" i="237"/>
  <c r="G229" i="237"/>
  <c r="H275" i="237"/>
  <c r="I275" i="237" s="1"/>
  <c r="H255" i="237"/>
  <c r="H286" i="237"/>
  <c r="G52" i="237"/>
  <c r="G109" i="237"/>
  <c r="H118" i="237"/>
  <c r="H122" i="237"/>
  <c r="H198" i="237"/>
  <c r="G247" i="237"/>
  <c r="G243" i="237" s="1"/>
  <c r="G283" i="237"/>
  <c r="G310" i="237"/>
  <c r="G303" i="237" s="1"/>
  <c r="H48" i="237"/>
  <c r="H60" i="237"/>
  <c r="H74" i="237"/>
  <c r="H78" i="237"/>
  <c r="H76" i="237" s="1"/>
  <c r="G88" i="237"/>
  <c r="G181" i="237"/>
  <c r="G180" i="237" s="1"/>
  <c r="G185" i="237"/>
  <c r="G189" i="237"/>
  <c r="G222" i="237"/>
  <c r="G226" i="237"/>
  <c r="G197" i="237" s="1"/>
  <c r="H251" i="237"/>
  <c r="H75" i="237"/>
  <c r="H110" i="237"/>
  <c r="H109" i="237" s="1"/>
  <c r="H42" i="456" l="1"/>
  <c r="G42" i="456"/>
  <c r="D8" i="246"/>
  <c r="D28" i="246" s="1"/>
  <c r="C28" i="246"/>
  <c r="H30" i="299"/>
  <c r="I10" i="299"/>
  <c r="I30" i="299" s="1"/>
  <c r="S12" i="247"/>
  <c r="S32" i="247" s="1"/>
  <c r="P32" i="247"/>
  <c r="E28" i="513"/>
  <c r="F12" i="513"/>
  <c r="F28" i="513" s="1"/>
  <c r="J11" i="211"/>
  <c r="J42" i="211" s="1"/>
  <c r="H42" i="211"/>
  <c r="H61" i="211" s="1"/>
  <c r="Q43" i="211"/>
  <c r="J44" i="211"/>
  <c r="C44" i="211" s="1"/>
  <c r="D17" i="253"/>
  <c r="E11" i="253"/>
  <c r="E17" i="253" s="1"/>
  <c r="C72" i="270"/>
  <c r="I74" i="270"/>
  <c r="I78" i="270" s="1"/>
  <c r="I68" i="270"/>
  <c r="I72" i="270" s="1"/>
  <c r="I245" i="237"/>
  <c r="I244" i="237" s="1"/>
  <c r="H244" i="237"/>
  <c r="I241" i="237"/>
  <c r="I240" i="237" s="1"/>
  <c r="H240" i="237"/>
  <c r="H197" i="237"/>
  <c r="I149" i="237"/>
  <c r="I148" i="237" s="1"/>
  <c r="I142" i="237" s="1"/>
  <c r="H148" i="237"/>
  <c r="H61" i="237"/>
  <c r="I62" i="237"/>
  <c r="I61" i="237" s="1"/>
  <c r="I121" i="237"/>
  <c r="I120" i="237" s="1"/>
  <c r="H120" i="237"/>
  <c r="H111" i="237" s="1"/>
  <c r="H41" i="237"/>
  <c r="I42" i="237"/>
  <c r="I41" i="237" s="1"/>
  <c r="H102" i="237"/>
  <c r="I103" i="237"/>
  <c r="I102" i="237" s="1"/>
  <c r="H280" i="237"/>
  <c r="H279" i="237" s="1"/>
  <c r="I281" i="237"/>
  <c r="I280" i="237" s="1"/>
  <c r="I279" i="237" s="1"/>
  <c r="H17" i="237"/>
  <c r="H9" i="237" s="1"/>
  <c r="I18" i="237"/>
  <c r="I17" i="237" s="1"/>
  <c r="I9" i="237" s="1"/>
  <c r="I52" i="237"/>
  <c r="H52" i="237"/>
  <c r="I273" i="237"/>
  <c r="H267" i="237"/>
  <c r="H254" i="237" s="1"/>
  <c r="I269" i="237"/>
  <c r="I267" i="237" s="1"/>
  <c r="I254" i="237" s="1"/>
  <c r="I181" i="237"/>
  <c r="I180" i="237" s="1"/>
  <c r="I111" i="237"/>
  <c r="G111" i="237"/>
  <c r="H73" i="237"/>
  <c r="H66" i="237" s="1"/>
  <c r="H209" i="237"/>
  <c r="I210" i="237"/>
  <c r="I209" i="237" s="1"/>
  <c r="I293" i="237"/>
  <c r="I288" i="237" s="1"/>
  <c r="H288" i="237"/>
  <c r="H25" i="237"/>
  <c r="I26" i="237"/>
  <c r="I25" i="237" s="1"/>
  <c r="H229" i="237"/>
  <c r="G228" i="237"/>
  <c r="H29" i="237"/>
  <c r="I30" i="237"/>
  <c r="I29" i="237" s="1"/>
  <c r="I222" i="237"/>
  <c r="I197" i="237" s="1"/>
  <c r="Q44" i="211" l="1"/>
  <c r="R44" i="211" s="1"/>
  <c r="C60" i="211"/>
  <c r="C68" i="211" s="1"/>
  <c r="C11" i="211"/>
  <c r="J61" i="211"/>
  <c r="J60" i="211"/>
  <c r="R43" i="211"/>
  <c r="R60" i="211" s="1"/>
  <c r="Q60" i="211"/>
  <c r="H243" i="237"/>
  <c r="I243" i="237"/>
  <c r="I229" i="237"/>
  <c r="I228" i="237" s="1"/>
  <c r="H228" i="237"/>
  <c r="C42" i="211" l="1"/>
  <c r="Q11" i="211"/>
  <c r="R11" i="211" l="1"/>
  <c r="R42" i="211" s="1"/>
  <c r="R61" i="211" s="1"/>
  <c r="Q42" i="211"/>
  <c r="Q61" i="211" s="1"/>
  <c r="C67" i="211"/>
  <c r="C61" i="211"/>
  <c r="H93" i="237" l="1"/>
  <c r="H92" i="237" s="1"/>
  <c r="H83" i="237" s="1"/>
  <c r="I93" i="237"/>
  <c r="I92" i="237" s="1"/>
  <c r="I83" i="237" s="1"/>
  <c r="F27" i="239" l="1"/>
  <c r="F24" i="239" s="1"/>
  <c r="E27" i="239"/>
  <c r="E24" i="239" s="1"/>
  <c r="H144" i="237" l="1"/>
  <c r="H143" i="237" s="1"/>
  <c r="H142" i="237" s="1"/>
  <c r="G81" i="237" l="1"/>
  <c r="G142" i="237" s="1"/>
  <c r="G141" i="237" s="1"/>
  <c r="G82" i="237"/>
  <c r="G93" i="237" l="1"/>
  <c r="G92" i="237" s="1"/>
  <c r="G83" i="237" s="1"/>
  <c r="G312" i="237" s="1"/>
  <c r="G317" i="237" s="1"/>
  <c r="D27" i="239"/>
  <c r="D24" i="239" s="1"/>
  <c r="D60" i="239" s="1"/>
  <c r="I175" i="237" l="1"/>
  <c r="I174" i="237" s="1"/>
  <c r="I155" i="237" s="1"/>
  <c r="I141" i="237" s="1"/>
  <c r="I312" i="237" s="1"/>
  <c r="I317" i="237" s="1"/>
  <c r="H175" i="237"/>
  <c r="H174" i="237" s="1"/>
  <c r="H155" i="237" s="1"/>
  <c r="H141" i="237" s="1"/>
  <c r="H312" i="237" s="1"/>
  <c r="H317" i="237" s="1"/>
  <c r="E36" i="239" l="1"/>
  <c r="E34" i="239" s="1"/>
  <c r="E60" i="239" s="1"/>
  <c r="F36" i="239"/>
  <c r="F34" i="239" s="1"/>
  <c r="F60" i="239" s="1"/>
  <c r="D62" i="239" l="1"/>
</calcChain>
</file>

<file path=xl/sharedStrings.xml><?xml version="1.0" encoding="utf-8"?>
<sst xmlns="http://schemas.openxmlformats.org/spreadsheetml/2006/main" count="3403" uniqueCount="886">
  <si>
    <t>Иные дотация на обеспечение сбалансированности бюджетов</t>
  </si>
  <si>
    <t>Прочие межбюджетные трансферты</t>
  </si>
  <si>
    <t>ЖИЛИЩНО-КОММУНАЛЬНОЕ ХОЗЯЙСТВО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</si>
  <si>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по опеке и попечительству</t>
  </si>
  <si>
    <t>Субсидии</t>
  </si>
  <si>
    <t>Субсидии на обеспечение разового питания учащихся 1-4 классов</t>
  </si>
  <si>
    <t xml:space="preserve">Субвенции </t>
  </si>
  <si>
    <t>Расшифровка №1</t>
  </si>
  <si>
    <t>Общегосударственные вопросы</t>
  </si>
  <si>
    <t>Расходы на выплату персоналу местного самоуправления  (110)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</si>
  <si>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</si>
  <si>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</si>
  <si>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</si>
  <si>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>7</t>
  </si>
  <si>
    <t>8</t>
  </si>
  <si>
    <t>МР "Ботлихский район"</t>
  </si>
  <si>
    <t>Кижани</t>
  </si>
  <si>
    <t>Национальная безопасность и правоохранительная деятельность</t>
  </si>
  <si>
    <t>0505</t>
  </si>
  <si>
    <t>Составление (изменение и дополнение) списков кандидатов в присяжные заседатели</t>
  </si>
  <si>
    <t>Субвенции 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</si>
  <si>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</t>
  </si>
  <si>
    <t>Раздел</t>
  </si>
  <si>
    <t>Подраздел</t>
  </si>
  <si>
    <t>Целевая статья</t>
  </si>
  <si>
    <t>Наименование</t>
  </si>
  <si>
    <t>АМР "Ботлихский район"</t>
  </si>
  <si>
    <t>Глава муниципального района</t>
  </si>
  <si>
    <t>Наименование учреждений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</si>
  <si>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</si>
  <si>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 xml:space="preserve">Межбюджетные трансферты  </t>
  </si>
  <si>
    <t>ВСЕГО РАСХОДОВ:</t>
  </si>
  <si>
    <t>в %</t>
  </si>
  <si>
    <t xml:space="preserve"> </t>
  </si>
  <si>
    <t>ИТОГО:</t>
  </si>
  <si>
    <t>Анди</t>
  </si>
  <si>
    <t>Ансалта</t>
  </si>
  <si>
    <t>Ашали</t>
  </si>
  <si>
    <t>СРЕДСТВА МАССОВОЙ ИНФОРМАЦИИ</t>
  </si>
  <si>
    <t>ФИЗИЧЕСКАЯ КУЛЬТУРА И СПОРТ</t>
  </si>
  <si>
    <t>Наименования поселений</t>
  </si>
  <si>
    <t>Прочие доходы от оказания платных услуг получателями средств бюджетов муниципальных районов и компенсации затрат бюджетов  муниципальных районов</t>
  </si>
  <si>
    <t>ДОХОДЫ ОТ ПРОДАЖИ МАТЕРИАЛЬНЫХ И НЕМАТЕРИАЛЬНЫХ АКТИВОВ</t>
  </si>
  <si>
    <t>ИТОГО</t>
  </si>
  <si>
    <t>1202</t>
  </si>
  <si>
    <t>№ п/п</t>
  </si>
  <si>
    <t>Коммунальное хозяйство</t>
  </si>
  <si>
    <t>Ботлих</t>
  </si>
  <si>
    <t>Гагатли</t>
  </si>
  <si>
    <t>Годобери</t>
  </si>
  <si>
    <t>Зило</t>
  </si>
  <si>
    <t>Инхело</t>
  </si>
  <si>
    <t>Кванхидатли</t>
  </si>
  <si>
    <t>Ведом-ство</t>
  </si>
  <si>
    <t>Сельское хозяйство и рыболовство</t>
  </si>
  <si>
    <t>Субвенция</t>
  </si>
  <si>
    <t>Всего:</t>
  </si>
  <si>
    <t>субвенция бюджетам муниципального района по наделению органов местного самоуправления гос. полномочиями РД по расчету и предоставлению дотаций поселениям</t>
  </si>
  <si>
    <t>Наименование доходов</t>
  </si>
  <si>
    <t>Вид рас-ходов</t>
  </si>
  <si>
    <t>1</t>
  </si>
  <si>
    <t>2</t>
  </si>
  <si>
    <t>3</t>
  </si>
  <si>
    <t>4</t>
  </si>
  <si>
    <t>5</t>
  </si>
  <si>
    <t>6</t>
  </si>
  <si>
    <t>01</t>
  </si>
  <si>
    <t>02</t>
  </si>
  <si>
    <t>06</t>
  </si>
  <si>
    <t>04</t>
  </si>
  <si>
    <t>13</t>
  </si>
  <si>
    <t>03</t>
  </si>
  <si>
    <t>09</t>
  </si>
  <si>
    <t>08</t>
  </si>
  <si>
    <t>05</t>
  </si>
  <si>
    <t>07</t>
  </si>
  <si>
    <t>1101</t>
  </si>
  <si>
    <t>Социальная политика</t>
  </si>
  <si>
    <t>480</t>
  </si>
  <si>
    <t>Жилищно-коммунальное хозяйство</t>
  </si>
  <si>
    <t xml:space="preserve">к решению Собрания депутатов МР "Ботлихский район" </t>
  </si>
  <si>
    <t>к решению Собрания депутатов МР "Ботлихский район"</t>
  </si>
  <si>
    <t>целевая статья</t>
  </si>
  <si>
    <t>Земельный налог</t>
  </si>
  <si>
    <t>Госпошлина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</si>
  <si>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</si>
  <si>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</t>
  </si>
  <si>
    <t>Резервные фонды</t>
  </si>
  <si>
    <t>Безвозмездные поступления от других бюджетов бюджетной системы Российской Федерации</t>
  </si>
  <si>
    <t>на сбалансирование бюджета</t>
  </si>
  <si>
    <t>КЦ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</si>
  <si>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</si>
  <si>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</si>
  <si>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</si>
  <si>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НАЦИОНАЛЬНАЯ ОБОРОНА</t>
  </si>
  <si>
    <t>Национальная экономика</t>
  </si>
  <si>
    <t>сумма</t>
  </si>
  <si>
    <t>ВСЕГО</t>
  </si>
  <si>
    <t>Код по КБК</t>
  </si>
  <si>
    <t xml:space="preserve">Налог на доходы физических лиц </t>
  </si>
  <si>
    <t>Единый сельхозналог</t>
  </si>
  <si>
    <t>Прочие доходы от оказания платных услуг  (ясли-сады)</t>
  </si>
  <si>
    <t>Итого налоговые и неналоговые доходы:</t>
  </si>
  <si>
    <t>в том числе:</t>
  </si>
  <si>
    <t>Дотации бюджетам субъектов Российской Федерации и муниципальных образований</t>
  </si>
  <si>
    <t>Субсидии бюджетам муниципальных образований (межбюджетных субсидии)</t>
  </si>
  <si>
    <t xml:space="preserve">Распределение бюджетных ассигнований    </t>
  </si>
  <si>
    <t>Объем поступлений доходов районного бюджета</t>
  </si>
  <si>
    <t xml:space="preserve">Объем межбюджетных трансфертов, </t>
  </si>
  <si>
    <t>530</t>
  </si>
  <si>
    <t>Иные межбюджетные трансферты</t>
  </si>
  <si>
    <t>Национальная оборона</t>
  </si>
  <si>
    <t>0113</t>
  </si>
  <si>
    <t>количество учащихся 1-4 классов</t>
  </si>
  <si>
    <t>00</t>
  </si>
  <si>
    <t>ОБЩЕГОСУДАРСТВЕННЫЕ ВОПРОСЫ</t>
  </si>
  <si>
    <t>получаемых из других бюджетов бюджетной системы Российской Федерации</t>
  </si>
  <si>
    <t>Защита населения и территории от чрезвычайных ситуаций природного и техногенного характера. гражданская оборона</t>
  </si>
  <si>
    <t>Итого закрепленных доходов</t>
  </si>
  <si>
    <t>Неналоговые доходы</t>
  </si>
  <si>
    <t>Культура, кинематография, средства массовой информации</t>
  </si>
  <si>
    <t>Обеспечение деятельности финансовых. налоговых и таможенных органов и органов финансового (финансово-бюджетного) надзора</t>
  </si>
  <si>
    <t>КУЛЬТУРА. КИНЕМАТОГРАФИЯ</t>
  </si>
  <si>
    <t>Другие вопросы в области физической культуры и спорта</t>
  </si>
  <si>
    <t xml:space="preserve">Межбюджетные трансферты </t>
  </si>
  <si>
    <t>Другие вопросы в области образования</t>
  </si>
  <si>
    <t>Культура</t>
  </si>
  <si>
    <t>10</t>
  </si>
  <si>
    <t>СОЦИАЛЬНАЯ ПОЛИТИКА</t>
  </si>
  <si>
    <t>Пенсионное обеспечение</t>
  </si>
  <si>
    <t>Всего доходов:</t>
  </si>
  <si>
    <t>Итого</t>
  </si>
  <si>
    <t>Управление сельского хозяйства АМР "Ботлихский район"</t>
  </si>
  <si>
    <t>Управление образования АМР "Ботлихский район"</t>
  </si>
  <si>
    <t>400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</si>
  <si>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</si>
  <si>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</si>
  <si>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</si>
  <si>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</si>
  <si>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</si>
  <si>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</si>
  <si>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Обслуживание государственного и муниципального долга</t>
  </si>
  <si>
    <t>Функционирование высшего должностного лица субъекта Российской Федерации и муниципального образования</t>
  </si>
  <si>
    <t>откл</t>
  </si>
  <si>
    <t>Фонд финансовой поддержки муниципального района</t>
  </si>
  <si>
    <t>Осуществление полномочий РД по организации деятельности опеки и попечительства</t>
  </si>
  <si>
    <t>Риквани</t>
  </si>
  <si>
    <t>Тандо</t>
  </si>
  <si>
    <t>Тлох</t>
  </si>
  <si>
    <t>Хелетури</t>
  </si>
  <si>
    <t>Чанко</t>
  </si>
  <si>
    <t>Шодрода</t>
  </si>
  <si>
    <t xml:space="preserve">муниципальных общеобразовательных учреждений МР "Ботлихский район" </t>
  </si>
  <si>
    <t>0106</t>
  </si>
  <si>
    <t>0309</t>
  </si>
  <si>
    <t>Наименование поселений</t>
  </si>
  <si>
    <t>Сумма</t>
  </si>
  <si>
    <t>110</t>
  </si>
  <si>
    <t xml:space="preserve">Наименование казенных учреждений </t>
  </si>
  <si>
    <t>к/ц МФ</t>
  </si>
  <si>
    <t>ОБСЛУЖИВАНИЕ ГОСУДАРСТВЕННОГО И МУНИЦИПАЛЬНОГО ДОЛГА</t>
  </si>
  <si>
    <t xml:space="preserve"> Распределение бюджетных ассигнований  по разделам</t>
  </si>
  <si>
    <t xml:space="preserve"> и подразделам классификации расходов бюджета МР "Ботлихский район"</t>
  </si>
  <si>
    <t>ДОХОДЫ ЗА АРЕНДУ ИМУЩЕСТВА</t>
  </si>
  <si>
    <t>итого дошк учр</t>
  </si>
  <si>
    <t>итого школ учр</t>
  </si>
  <si>
    <t>учебно мет каб и ХЭК</t>
  </si>
  <si>
    <t>Всего по рсш</t>
  </si>
  <si>
    <t>2.</t>
  </si>
  <si>
    <t>Физическая культура</t>
  </si>
  <si>
    <t>Другие вопросы в области физкультуры и спорта</t>
  </si>
  <si>
    <t>Средства массовой информации</t>
  </si>
  <si>
    <t>Итого:</t>
  </si>
  <si>
    <t>Образование</t>
  </si>
  <si>
    <t>МКУ Информационно метод центр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</si>
  <si>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</si>
  <si>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</si>
  <si>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</si>
  <si>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 xml:space="preserve">  </t>
  </si>
  <si>
    <t>Осуществление полномочий РД по созданию и организации деятельности административных комиссий</t>
  </si>
  <si>
    <t>Итого школы:</t>
  </si>
  <si>
    <t>Итого ясли-сады:</t>
  </si>
  <si>
    <t>Раз-дел</t>
  </si>
  <si>
    <t>Под-раз-дел</t>
  </si>
  <si>
    <t>100 103 02230 01 0000 110</t>
  </si>
  <si>
    <t>182 101 02000 01 0000 110</t>
  </si>
  <si>
    <t>165 113 01995 05 0000 130</t>
  </si>
  <si>
    <t>14</t>
  </si>
  <si>
    <t xml:space="preserve">ПРОЧИЕ БЕЗВОЗМЕЗДНЫЕ ПОСТУПЛЕНИЯ </t>
  </si>
  <si>
    <t>ШТРАФЫ, САНКЦИИ, ВОЗМЕЩЕНИЕ УЩЕРБА</t>
  </si>
  <si>
    <t>ПРОЧИЕ НЕНАЛОГОВЫЕ ДОХОДЫ</t>
  </si>
  <si>
    <t>Миарсо</t>
  </si>
  <si>
    <t>Муни</t>
  </si>
  <si>
    <t>Рахата</t>
  </si>
  <si>
    <t>1.</t>
  </si>
  <si>
    <t>АКЦИЗЫ НА НЕФТЬ И ГАЗ</t>
  </si>
  <si>
    <t>0104</t>
  </si>
  <si>
    <t>001</t>
  </si>
  <si>
    <t>182 108 04020 01 0000 110</t>
  </si>
  <si>
    <t>182 105 03000 01 0000 110</t>
  </si>
  <si>
    <t>Распределение средств Районного фонда ФФПП (объем дотации поселениям)</t>
  </si>
  <si>
    <t>Школы</t>
  </si>
  <si>
    <r>
      <t xml:space="preserve">Откл: </t>
    </r>
    <r>
      <rPr>
        <i/>
        <sz val="10"/>
        <rFont val="Times New Roman"/>
        <family val="1"/>
        <charset val="204"/>
      </rPr>
      <t>Школы</t>
    </r>
  </si>
  <si>
    <r>
      <t xml:space="preserve">          </t>
    </r>
    <r>
      <rPr>
        <i/>
        <sz val="10"/>
        <rFont val="Times New Roman"/>
        <family val="1"/>
        <charset val="204"/>
      </rPr>
      <t>Ясли</t>
    </r>
  </si>
  <si>
    <t>Доплаты к пенсиям муниципальных служащих</t>
  </si>
  <si>
    <t>Дотации из республиканского фонда финансовой поддержки муниципальных районов, на выравнивание бюджетной обеспеченности</t>
  </si>
  <si>
    <t>992</t>
  </si>
  <si>
    <t>Субвенции бюджетам муниципальных районов на обеспечение жилыми помещениями  детей 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</si>
  <si>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Функционирование Правительства Российской Федерации. высших исполнительных органов государственной власти субъектов Российской Федерации. местных администраций</t>
  </si>
  <si>
    <t>Наименование показателя</t>
  </si>
  <si>
    <t>НАЛОГИ НА ПРИБЫЛЬ, ДОХОДЫ</t>
  </si>
  <si>
    <t>Налог на доходы физических лиц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</si>
  <si>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административных комиссий</t>
  </si>
  <si>
    <t>Администрация МР "Ботлихский район"</t>
  </si>
  <si>
    <t>Субвенции бюджетам субъектов Российской Федерации и муниципальных образований</t>
  </si>
  <si>
    <t>120</t>
  </si>
  <si>
    <t>Общеэкономические вопросы</t>
  </si>
  <si>
    <t>Дорожное хозяйство (дорожные фонды)</t>
  </si>
  <si>
    <t>Алак</t>
  </si>
  <si>
    <t>000</t>
  </si>
  <si>
    <t>0701</t>
  </si>
  <si>
    <t>0702</t>
  </si>
  <si>
    <t>0709</t>
  </si>
  <si>
    <t>0801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</si>
  <si>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</si>
  <si>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</si>
  <si>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</si>
  <si>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</si>
  <si>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Другие вопросы в области национальной экономики</t>
  </si>
  <si>
    <t>Доплаты ветеранам и другой категории населения за особые заслуги перед районом</t>
  </si>
  <si>
    <t>Налог на имущество с физических лиц</t>
  </si>
  <si>
    <t>Налог на доходы с физических лиц</t>
  </si>
  <si>
    <t>ВСЕГО ДОХОДОВ:</t>
  </si>
  <si>
    <t>РАСХОДЫ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</si>
  <si>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</si>
  <si>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</si>
  <si>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</si>
  <si>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ГОСУДАРСТВЕННАЯ ПОШЛИНА, СБОРЫ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</si>
  <si>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</si>
  <si>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</si>
  <si>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</si>
  <si>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</si>
  <si>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из республиканского бюджета</t>
  </si>
  <si>
    <t>Районное Собрание</t>
  </si>
  <si>
    <t>МР "Ботлихский район" по разделам, подразделам, целевым статьям</t>
  </si>
  <si>
    <t>Итого фонд оплаты труда</t>
  </si>
  <si>
    <t>Фонд оплаты труда</t>
  </si>
  <si>
    <t>Субвенция на выполнение федеральных полномочий по составлению списков кандидатов в присяжные заседатели Верховного Суда</t>
  </si>
  <si>
    <t>УСН</t>
  </si>
  <si>
    <t>99 000 10010</t>
  </si>
  <si>
    <t>99 000 10020</t>
  </si>
  <si>
    <t>99 000 10040</t>
  </si>
  <si>
    <t>99 800 77710</t>
  </si>
  <si>
    <t>99 800 77720</t>
  </si>
  <si>
    <t>99 800 77730</t>
  </si>
  <si>
    <t>99 800 51200</t>
  </si>
  <si>
    <t>99 000 10030</t>
  </si>
  <si>
    <t>99 000 10070</t>
  </si>
  <si>
    <t>99 000 60300</t>
  </si>
  <si>
    <t>99 000 40010</t>
  </si>
  <si>
    <t>99 000 70010</t>
  </si>
  <si>
    <t>99 000 70020</t>
  </si>
  <si>
    <t>99 000 70030</t>
  </si>
  <si>
    <t>99 000 70040</t>
  </si>
  <si>
    <t>99 000 80010</t>
  </si>
  <si>
    <t>99 000 80020</t>
  </si>
  <si>
    <t>99 000 90010</t>
  </si>
  <si>
    <t>99 000 90100</t>
  </si>
  <si>
    <t>99 000 90200</t>
  </si>
  <si>
    <t>99 000 90400</t>
  </si>
  <si>
    <t>99 000 90300</t>
  </si>
  <si>
    <t>99 000 00920</t>
  </si>
  <si>
    <t>99 800 51180</t>
  </si>
  <si>
    <t>26 101 60010</t>
  </si>
  <si>
    <t>19 101 06590</t>
  </si>
  <si>
    <t>240</t>
  </si>
  <si>
    <t>19 202 06590</t>
  </si>
  <si>
    <t>Расходы на ЕГЭ</t>
  </si>
  <si>
    <t xml:space="preserve">Ботлих </t>
  </si>
  <si>
    <t>Наименование статей расходов</t>
  </si>
  <si>
    <t>На выполнение муниципального задания</t>
  </si>
  <si>
    <t>99 800 77740</t>
  </si>
  <si>
    <t>400 113 01995 05 0000 130</t>
  </si>
  <si>
    <t>УФ и Э АМР "Ботлихский район"</t>
  </si>
  <si>
    <t>Аппарат ФК, спорту, делам молодёжи и туризму</t>
  </si>
  <si>
    <t>Взносы по обязат. соц/ страхов. на выплаты по опл. труда работн. и иные выпл. работн. каз. Учр.</t>
  </si>
  <si>
    <t>(тыс. руб.)</t>
  </si>
  <si>
    <t>165 111 05035 05 0000 120</t>
  </si>
  <si>
    <t>Бюджетные инвестиции в объекты капитального строительства муницип. собственности казенным учреждениям (414)</t>
  </si>
  <si>
    <t xml:space="preserve">   </t>
  </si>
  <si>
    <t>расходы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</si>
  <si>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Субвенции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</si>
  <si>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Субвенции на выплату единовременного пособия при всех формах устройства детей в семью</t>
  </si>
  <si>
    <t>182 105 01000 01 0000 110</t>
  </si>
  <si>
    <t>контр</t>
  </si>
  <si>
    <t>Дотации на выравнивание бюджетной обеспеченности поселений</t>
  </si>
  <si>
    <t>МКУ "Хозяйственная служба"</t>
  </si>
  <si>
    <t xml:space="preserve">            </t>
  </si>
  <si>
    <t>Иные субсидии</t>
  </si>
  <si>
    <t>На приобретение услуг связи (интернет) (221)</t>
  </si>
  <si>
    <t>(тыс.)</t>
  </si>
  <si>
    <t>Госстандарт образования</t>
  </si>
  <si>
    <t>Госстандарт  дошкольного образования</t>
  </si>
  <si>
    <t>Осуществление полномочий РД по созданию и организации деятельности комиссии по делам несовершеннолетних</t>
  </si>
  <si>
    <t>Осуществление полномочий РД по хранению, комплектованию, учету и использованию Архивного фонда РД</t>
  </si>
  <si>
    <t>Иные закупки товаров, работ и услуг для муниципальных нужд   (240)</t>
  </si>
  <si>
    <t>Уплата налогов, сборов и иных обязательств платежей в бюджетную систему РФ (850)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</si>
  <si>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</si>
  <si>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Субвенции бюджетам муниципальных районов на обеспечение государственных гарантий прав гражданина на получение дошкольного) образования (Госстандарт).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</si>
  <si>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комиссий по делам несовершеннолетних</t>
  </si>
  <si>
    <t>Субвенции бюджетам муниципальных районов на осуществление отдельных государственных полномочий по хранению, комплектованию, учету и использованию Архивного фонда РД</t>
  </si>
  <si>
    <t>Субвенции бюджетам муниципальных районов на обеспечение государственных гарантий прав гражданина на получение общедоступного и бесплатного начального общего, основного общего, среднего (полного) образования (Госстандарт).</t>
  </si>
  <si>
    <t>Единый сельско-хозяйственный налог</t>
  </si>
  <si>
    <r>
      <t xml:space="preserve">Расходы     </t>
    </r>
    <r>
      <rPr>
        <b/>
        <i/>
        <sz val="10"/>
        <rFont val="Times New Roman"/>
        <family val="1"/>
        <charset val="204"/>
      </rPr>
      <t>(руб.)</t>
    </r>
  </si>
  <si>
    <t>Прочие вып-латы (сут-е на повышение квалификации педрабо-тников). Госстандарт (212)</t>
  </si>
  <si>
    <t>Ясли</t>
  </si>
  <si>
    <t xml:space="preserve"> (руб.)</t>
  </si>
  <si>
    <t>100 000 90200</t>
  </si>
  <si>
    <t xml:space="preserve">Прочая за-купка това-ров, работ и услуг для
 обеспечения муниципальных нужд (310)  </t>
  </si>
  <si>
    <r>
      <t xml:space="preserve">Примечание:  </t>
    </r>
    <r>
      <rPr>
        <b/>
        <sz val="10"/>
        <rFont val="Times New Roman"/>
        <family val="1"/>
        <charset val="204"/>
      </rPr>
      <t xml:space="preserve"> *</t>
    </r>
    <r>
      <rPr>
        <sz val="10"/>
        <rFont val="Times New Roman"/>
        <family val="1"/>
        <charset val="204"/>
      </rPr>
      <t xml:space="preserve"> см. расшифр. №1 к приложению</t>
    </r>
  </si>
  <si>
    <r>
      <t>**</t>
    </r>
    <r>
      <rPr>
        <sz val="10"/>
        <rFont val="Times New Roman"/>
        <family val="1"/>
        <charset val="204"/>
      </rPr>
      <t xml:space="preserve"> расшифр. №2 к приложению.  </t>
    </r>
  </si>
  <si>
    <t>99 000 90600</t>
  </si>
  <si>
    <r>
      <t xml:space="preserve">                       Сумма                 </t>
    </r>
    <r>
      <rPr>
        <b/>
        <sz val="11"/>
        <rFont val="Times New Roman"/>
        <family val="1"/>
        <charset val="204"/>
      </rPr>
      <t>(тыс. руб.)</t>
    </r>
  </si>
  <si>
    <t>Прочие услуги (квартир. по команд. Расходам педагог-х работни-в при прохождении повыш. квалифи.) (226)</t>
  </si>
  <si>
    <t>0703</t>
  </si>
  <si>
    <t xml:space="preserve">                                                                              Сумма                                                                </t>
  </si>
  <si>
    <t>99 000 400 10</t>
  </si>
  <si>
    <t>по общеобразовательным и дошкольным учреждениям муниципального района "Ботлихский район" (Госстандарт).</t>
  </si>
  <si>
    <t>Расходы на выплаты персоналу государственных (муниципальных) органов</t>
  </si>
  <si>
    <t>Расходы на выплаты персоналу казенных учреждений</t>
  </si>
  <si>
    <t>Иные закупки товаров, работ и услуг для обеспечения муниципальных нужд</t>
  </si>
  <si>
    <t>Капитальные вложения в объекты муниципальной собственности</t>
  </si>
  <si>
    <t>Субвенции на содержание, ремонт и строительство автомобильных дорог общего пользования и местного значения</t>
  </si>
  <si>
    <t>Субсидии бюдж учр-м на выполнение муниципального задания</t>
  </si>
  <si>
    <t>Иные субсидии (Содержание, ремонт и строительство автомобильных дорог общего пользования и местного значения).</t>
  </si>
  <si>
    <t>Обслуживание муниципального долга (возврат) проценты.</t>
  </si>
  <si>
    <t>Уплата налогов, сборов и иных платежей</t>
  </si>
  <si>
    <t>Резервные средства</t>
  </si>
  <si>
    <t>итого внеш. учр</t>
  </si>
  <si>
    <t xml:space="preserve">Трансп. Усл. (проез по ком. расх) Госстандарт. на проезд педработн. до места прохожд. повыш. Квалифик. (222)  </t>
  </si>
  <si>
    <t>Дотация</t>
  </si>
  <si>
    <t>на обеспечение разового питания учащихся 1-4 классов общеобразовательных учреждений</t>
  </si>
  <si>
    <t>расходы для выполнения государственных полномочий РД по хранению, комплектованию и использованию Архивного фонда Республики Дагестан</t>
  </si>
  <si>
    <t>для выполнения полномочий по образованию и организации деятельности административных комиссий</t>
  </si>
  <si>
    <t>для выполнения полномочий по образованию и организации деятельности административных комиссий по несовершеннолетним</t>
  </si>
  <si>
    <t>для выполнения полномочий на организацию и осуществление деятельности по опеке и попечительству</t>
  </si>
  <si>
    <t>для выполнения полномочий по первичному воинскому учету на территориях, где отсутствуют военные комиссариаты</t>
  </si>
  <si>
    <t>на выполнение федеральных полномочий по составлению списков кандидатов в присяжные заседатели федеральных судов общей юрисдикции в РФ</t>
  </si>
  <si>
    <t>ДЮСШ с. Анди</t>
  </si>
  <si>
    <t>ДЮСШ с. Ансалта</t>
  </si>
  <si>
    <t>ДЮСШ с. Ботлих</t>
  </si>
  <si>
    <t>ДЮСШ с. Тлох</t>
  </si>
  <si>
    <t>Итого на выполнение муниципального задания</t>
  </si>
  <si>
    <t>Итого на иные субсидии</t>
  </si>
  <si>
    <t>Всего на внешкольные МБУ</t>
  </si>
  <si>
    <t>Администра-тивного персонала</t>
  </si>
  <si>
    <t>Педагогичес-кого персонала</t>
  </si>
  <si>
    <t>Учебно-вспомога-тельного персонала</t>
  </si>
  <si>
    <t>Комитет по управлению имуществом (КУМИ)</t>
  </si>
  <si>
    <r>
      <t xml:space="preserve">Расходы на выплаты персоналу государственных (муниципальных) органов </t>
    </r>
    <r>
      <rPr>
        <b/>
        <sz val="10"/>
        <rFont val="Times New Roman"/>
        <family val="1"/>
        <charset val="204"/>
      </rPr>
      <t xml:space="preserve"> </t>
    </r>
  </si>
  <si>
    <t>на поддержку муниципальных программ формирования городской среды</t>
  </si>
  <si>
    <t>Субсидии на поддержку муниципальных программ формирования городской среды</t>
  </si>
  <si>
    <t>Технического персонала</t>
  </si>
  <si>
    <t>На выплату пособий на детей сирот</t>
  </si>
  <si>
    <t>На обеспечение детей-сирот жилыми помещениями</t>
  </si>
  <si>
    <t xml:space="preserve">Бюджетные ассигнования на реализацию </t>
  </si>
  <si>
    <t xml:space="preserve">муниципальной программы "Защита населения и территории от </t>
  </si>
  <si>
    <t xml:space="preserve"> чрезвичайных ситуаций и обеспечение пожарной безопасности в </t>
  </si>
  <si>
    <t>раздел, подраздел</t>
  </si>
  <si>
    <t xml:space="preserve">вид расходов </t>
  </si>
  <si>
    <t>КОСГУ</t>
  </si>
  <si>
    <t>Глава</t>
  </si>
  <si>
    <t>на создание резерва материально-технических, продовольственных, медицинских и иных средств, для целей гражданской обороны</t>
  </si>
  <si>
    <t>на приобретение 160 шт средств индивидуальной защиты (противогазов марки ГП-7)</t>
  </si>
  <si>
    <t>на оснощение учебно-материальной базы, учебно-консультационных пунктов муниципального района (плакаты, образцы средств защиты органов дыхания и кожи, приборы РХ разведки, средств первой помощи, противопожарных средств и других средств обеспечения учебного процесса).</t>
  </si>
  <si>
    <t>Всего по программе:</t>
  </si>
  <si>
    <t>0110370020</t>
  </si>
  <si>
    <t>0110370010</t>
  </si>
  <si>
    <t>0120110040</t>
  </si>
  <si>
    <t>0130110040</t>
  </si>
  <si>
    <t>Муниципальная программа "Защита населения и территории от ЧС и обеспечение пожарной безопасности"</t>
  </si>
  <si>
    <t>Создание и совершенствование системы оповещения населения района</t>
  </si>
  <si>
    <t>01 201 10040</t>
  </si>
  <si>
    <t>01 301 10040</t>
  </si>
  <si>
    <t>01 103 70010</t>
  </si>
  <si>
    <t>01 103 70020</t>
  </si>
  <si>
    <t>На выполнение муниципальной программы</t>
  </si>
  <si>
    <t>в т. ч. к/ремонт зданий</t>
  </si>
  <si>
    <t>Смета</t>
  </si>
  <si>
    <t>доходов и расходов муниципального дорожного фонда</t>
  </si>
  <si>
    <t>Доходы - всего:</t>
  </si>
  <si>
    <t>Акцизы на нефтепродукты, подлежащие к зачислению в местный бюджет</t>
  </si>
  <si>
    <t>Резерв бюджетных ассигнований дорожного фонда</t>
  </si>
  <si>
    <t xml:space="preserve">Капитальный ремонт и ремонт автомобильных дорог и сооружений на них общего пользования местного значения </t>
  </si>
  <si>
    <t>РАСХОДЫ - всего:</t>
  </si>
  <si>
    <r>
      <t xml:space="preserve">Дотация на содержание прочего персонала </t>
    </r>
    <r>
      <rPr>
        <b/>
        <sz val="10"/>
        <rFont val="Times New Roman"/>
        <family val="1"/>
        <charset val="204"/>
      </rPr>
      <t xml:space="preserve">дошкольных </t>
    </r>
    <r>
      <rPr>
        <sz val="10"/>
        <rFont val="Times New Roman"/>
        <family val="1"/>
        <charset val="204"/>
      </rPr>
      <t>образовательных учреждений, передаваемых на местный бюджет из средств субвенций, выделяемых бюджетам муниципальных районов для реализации основных общеобразовательных программ дошкольного образования</t>
    </r>
  </si>
  <si>
    <t>На содержание детей в семье опекунов (пособия на детей).</t>
  </si>
  <si>
    <t>Резерв ассигнований дорожного фонда</t>
  </si>
  <si>
    <t>99 000 40070</t>
  </si>
  <si>
    <t>Наименование муниципальных бюджетных учреждений и виды расходов</t>
  </si>
  <si>
    <t>99 000 90500</t>
  </si>
  <si>
    <t xml:space="preserve">программы на дому муниципальных общеобразовательных  учреждений </t>
  </si>
  <si>
    <t xml:space="preserve">в том числе детей-инвалидов, осваивающих общеобразовательные </t>
  </si>
  <si>
    <t>Субсидии на обеспечение двух разовым питанием</t>
  </si>
  <si>
    <t xml:space="preserve"> (завтрак и обед) обучающихся с ограниченными возможностями здоровья, </t>
  </si>
  <si>
    <t>992 202 03029 05 0000 150</t>
  </si>
  <si>
    <t>001 202 03024 05 0000 150</t>
  </si>
  <si>
    <t>992 202 03024 05 0000 150</t>
  </si>
  <si>
    <t>992 202 03015 05 0000 150</t>
  </si>
  <si>
    <t>992 202 03026 05 0000 150</t>
  </si>
  <si>
    <t>992 202 03027 05 0000 150</t>
  </si>
  <si>
    <t>992 202 02999 05 0000 150</t>
  </si>
  <si>
    <t>992 202 25555 05 0000 150</t>
  </si>
  <si>
    <t>992 202 01001 05 0000 150</t>
  </si>
  <si>
    <t>на обеспечение бесплатным двухразовым питанием (завтрак обед) обучающихся с ограниченными возможностями здоровья, том числе детей инвалидов, осваивающие основные общеобразовательные программы на дому</t>
  </si>
  <si>
    <t>Итого по грантам</t>
  </si>
  <si>
    <t xml:space="preserve">МКДОУ "Золотой ключик" с.Ботлих  </t>
  </si>
  <si>
    <t>МКДОУ "Улыбка" с.Муни</t>
  </si>
  <si>
    <t>МКДОУ "Звездочка" с.Тандо</t>
  </si>
  <si>
    <t>МКОУ "Андийская СОШ №1"</t>
  </si>
  <si>
    <t>244</t>
  </si>
  <si>
    <t>225</t>
  </si>
  <si>
    <t>МКОУ "Андийская СОШ №2"</t>
  </si>
  <si>
    <t>МКОУ "Рикванинская СОШ"</t>
  </si>
  <si>
    <t>МКОУ "Гагатлинская СОШ"</t>
  </si>
  <si>
    <t>МКОУ "Чанковская СОШ"</t>
  </si>
  <si>
    <t>МКОУ "Мунинская СОШ"</t>
  </si>
  <si>
    <t>МКОУ "Ортаколинская СОШ"</t>
  </si>
  <si>
    <t>МКОУ "Тлохская СОШ"</t>
  </si>
  <si>
    <t>МКОУ "Ботлихская СОШ №1"</t>
  </si>
  <si>
    <t>МКОУ "Ботлихская СОШ №2"</t>
  </si>
  <si>
    <t>МКОУ "Ботлихская СОШ №3"</t>
  </si>
  <si>
    <t>МКОУ "Рахатинская СОШ"</t>
  </si>
  <si>
    <t>МКОУ "Годоберинская СОШ"</t>
  </si>
  <si>
    <t>МКДОУ "Чебурашка" с.Ботлих</t>
  </si>
  <si>
    <t>МКДОУ "Солнышко" с.Ботлих</t>
  </si>
  <si>
    <t>МКДОУ "Ласточка" с.Рахата</t>
  </si>
  <si>
    <t>МКДОУ "Журавлик" с.Шодрода</t>
  </si>
  <si>
    <t>МКДОУ "Светлячок" с.Анди</t>
  </si>
  <si>
    <t>МКДОУ "Сказка" с.Ашали</t>
  </si>
  <si>
    <t>МКДОУ "Ромашка" с.Алак</t>
  </si>
  <si>
    <t>МКУ АМР "Ботлихский район"</t>
  </si>
  <si>
    <t>МКОУ "Кижанинская ООШ</t>
  </si>
  <si>
    <t>МКОУ "Кванхидатлинская ООШ"</t>
  </si>
  <si>
    <t>МКОУ "Тасутинская ООШ"</t>
  </si>
  <si>
    <t>МКДОУ "Аист" с.Ансалта</t>
  </si>
  <si>
    <t>992 202 30021 05 0000 150</t>
  </si>
  <si>
    <t>Расходы на обеспечение выплат ежемесячного денежного вознаграждения за классное руководство педагогическим работникам общеобразовательных организаций (школ)</t>
  </si>
  <si>
    <t>Субвенция за выполнения функции классного руководства</t>
  </si>
  <si>
    <t>Колич-во классов</t>
  </si>
  <si>
    <t>211 статья</t>
  </si>
  <si>
    <t>213 статья</t>
  </si>
  <si>
    <t>2023год</t>
  </si>
  <si>
    <t>Расходы на классное руководство</t>
  </si>
  <si>
    <t>Гранты поселениям</t>
  </si>
  <si>
    <t>182 105 04020 02 1000 110</t>
  </si>
  <si>
    <t>Налог взимаемый в связи с применением патентной системы налогооблажения</t>
  </si>
  <si>
    <t>Доходы от сдачи в аренду имущества, находящегося в собственности муниципального района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</si>
  <si>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</si>
  <si>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165 114 13050 05 1000 410</t>
  </si>
  <si>
    <t>2024 год</t>
  </si>
  <si>
    <t>2024 г</t>
  </si>
  <si>
    <t>1.5. утв ген планов и т. д.  (0401)</t>
  </si>
  <si>
    <t>1.2. Дорожная деятельность (0409)</t>
  </si>
  <si>
    <t>1.3. созд. Услов. для жил / строя (0501)</t>
  </si>
  <si>
    <t>1.1.  (водоснабжение, водоотведение 0502)</t>
  </si>
  <si>
    <t>1.1.  1.4.  1.6. электро, тепло, газо сн.,  ритуаль. усл., сбор и вывоз быт. отх. (0503)</t>
  </si>
  <si>
    <t>992 202 25519 05 0000 150</t>
  </si>
  <si>
    <t>на модернизацию библиотек в части комплектования книжных фондов</t>
  </si>
  <si>
    <t>МР "Ботлихский район" на 2022 -2024 годы".</t>
  </si>
  <si>
    <t xml:space="preserve"> ( руб.)</t>
  </si>
  <si>
    <t>9900090600</t>
  </si>
  <si>
    <t>0310</t>
  </si>
  <si>
    <t>2024год</t>
  </si>
  <si>
    <t>99 000 80030</t>
  </si>
  <si>
    <t>0110310040</t>
  </si>
  <si>
    <t>0130160300</t>
  </si>
  <si>
    <t>14В0664600</t>
  </si>
  <si>
    <t>МБУ "Централизованная бухгалтерия"</t>
  </si>
  <si>
    <t>611</t>
  </si>
  <si>
    <t>612</t>
  </si>
  <si>
    <t>9900040010</t>
  </si>
  <si>
    <t>9900070035</t>
  </si>
  <si>
    <t>9900070033</t>
  </si>
  <si>
    <t>9900070031</t>
  </si>
  <si>
    <t>9900070032</t>
  </si>
  <si>
    <t>9900070034</t>
  </si>
  <si>
    <t>2025 г</t>
  </si>
  <si>
    <t>Субсидия на реализацию гос программы "На повышение курсов профессиональной переподготовки муниципальных служащих"</t>
  </si>
  <si>
    <t>01 001 99590</t>
  </si>
  <si>
    <t>Курсы повышения муниципальных служащих</t>
  </si>
  <si>
    <t>УФ и Э АМР "Ботлихский район" МБУ "Централизованная бухгалтерия АМР "Ботлихский район"</t>
  </si>
  <si>
    <t xml:space="preserve">Субвенция на переданные полномочия по ВУСу поселениям </t>
  </si>
  <si>
    <t>ГРАЖДАНСКАЯ ОБОРОНА</t>
  </si>
  <si>
    <t xml:space="preserve">Отдел безопасности, гр. обороны и ЧС </t>
  </si>
  <si>
    <t>Муниципальная программа "Обеспечение мерприятий по гражданской обороне"</t>
  </si>
  <si>
    <t>Администрация МР "Ботлихский район" Физическая культура и спорт</t>
  </si>
  <si>
    <t>2022год</t>
  </si>
  <si>
    <t>310</t>
  </si>
  <si>
    <t>226</t>
  </si>
  <si>
    <t>Расшифровка ассигнований на реализацию муниципальной программы на 2022-2024 годы.</t>
  </si>
  <si>
    <t xml:space="preserve">Мероприятия подпрограммы "Комплексные меры по обеспечению пожарной безопасности МР "Ботлихский район" </t>
  </si>
  <si>
    <t xml:space="preserve"> МКОУ "Мунинская СОШ" (спортзал)</t>
  </si>
  <si>
    <t>МКОУ "Ботлихская СОШ №3" (спортзал)</t>
  </si>
  <si>
    <t>МКОУ "Годоберинская СОШ" (спортзал)</t>
  </si>
  <si>
    <t>МКОУ "Хелетуринская СОШ" 2-й корпус</t>
  </si>
  <si>
    <t>МКОУ "Зиловская СОШ" (спортзал)</t>
  </si>
  <si>
    <t>МКОУ "Белединская НОШ"</t>
  </si>
  <si>
    <t>МКОУ "Гунховская НОШ"</t>
  </si>
  <si>
    <t>МКОУ "Зибирхалинская НОШ"</t>
  </si>
  <si>
    <t>МКОУ "В-Алакская НОШ"</t>
  </si>
  <si>
    <t>МКОУ "Н-Алакская НОШ"</t>
  </si>
  <si>
    <t>МКОУ "Шивортинская НОШ"</t>
  </si>
  <si>
    <t>Итого школы</t>
  </si>
  <si>
    <t>Итого ясли сады</t>
  </si>
  <si>
    <t>МБУДО "Тлохская ДЮСШ"</t>
  </si>
  <si>
    <t>МБУДО "РЦДОДЮ"</t>
  </si>
  <si>
    <t>Итого МБУДО</t>
  </si>
  <si>
    <t>1.Работы по установке пожарной автоматики "Тревожная кнопка"</t>
  </si>
  <si>
    <t xml:space="preserve">ВСЕГО по 1 пункту </t>
  </si>
  <si>
    <t>МКОУ "Тандовская СОШ"</t>
  </si>
  <si>
    <t>МКОУ "Хелетуринская СОШ"</t>
  </si>
  <si>
    <t>МКОУ "Алакский лицей"</t>
  </si>
  <si>
    <t>МКОУ "Ансалтинская СОШ"</t>
  </si>
  <si>
    <t>МКОУ "Шодродинская СОШ"</t>
  </si>
  <si>
    <t>МКОУ "Миарсинская СОШ"</t>
  </si>
  <si>
    <t>МКОУ "Зиловская СОШ"</t>
  </si>
  <si>
    <t>МКОУ "Нижне-Инхеловская ООШ"</t>
  </si>
  <si>
    <t>МКОУ "Ашалинская ООШ"</t>
  </si>
  <si>
    <t>ИТОГО по школам</t>
  </si>
  <si>
    <t>МКДОУ "Родничок" с.Ботлих</t>
  </si>
  <si>
    <t>МКДОУ "Орленок" с.Зило</t>
  </si>
  <si>
    <t>МКДОУ "Теремок" с.Годобери</t>
  </si>
  <si>
    <t>МКДОУ "Радуга" с.Тлох</t>
  </si>
  <si>
    <t>МКДОУ "Орленок" с.Гагатли</t>
  </si>
  <si>
    <t xml:space="preserve">МКДОУ "Золотой ключик" с.Ботлих </t>
  </si>
  <si>
    <t>ИТОГО по ясли садам</t>
  </si>
  <si>
    <t>МКОУ "Верхне-Алакская НОШ"</t>
  </si>
  <si>
    <t>МКОУ "Нижне-Алакская НОШ"</t>
  </si>
  <si>
    <t>МБУДО "Ботлихская ДЮСШ"</t>
  </si>
  <si>
    <t>МБУДО "Ансалтинская ДЮСШ"</t>
  </si>
  <si>
    <t>МБУДО "Андийская ДЮСШ"</t>
  </si>
  <si>
    <t>ИТОГО по МБУДО</t>
  </si>
  <si>
    <t>241</t>
  </si>
  <si>
    <t>2.Работы по выводу и обслуживанию сигналов пожарной автоматики "Тревожная кнопка" на пульты управления системы "112"</t>
  </si>
  <si>
    <t>ИТОГО по 2 пункту</t>
  </si>
  <si>
    <t>3. Работы по установке видеонаблюдения</t>
  </si>
  <si>
    <t>МКОУ "Мунинская СОШ" (спортзал)</t>
  </si>
  <si>
    <t>228</t>
  </si>
  <si>
    <t>МКОУ "Ботлихская СОШ" №1(щитовка)</t>
  </si>
  <si>
    <t>МКОУ "Ботлихская СОШ" №2</t>
  </si>
  <si>
    <t>МКОУ "Хелетуринская СОШ (2-й корпус)</t>
  </si>
  <si>
    <t>ИТОГО по 3 пункту</t>
  </si>
  <si>
    <t>4. Работы по выводу и обслуживанию сигналов видеонаблюдения на пульты управления системы "112" района</t>
  </si>
  <si>
    <t>МКОУ "Хелетуринская СОШ" (2 корпус)</t>
  </si>
  <si>
    <t>ИТОГО по 4 пункту</t>
  </si>
  <si>
    <t>ИТОГО по 5 пункту</t>
  </si>
  <si>
    <t xml:space="preserve">5. Работы по установке беспроводного датчика дыма для оповещения населения о пожаре </t>
  </si>
  <si>
    <t>ИТОГО по 6 пункту</t>
  </si>
  <si>
    <t xml:space="preserve">6. Приобретение генераторов тока для пунктов временного размещения населения </t>
  </si>
  <si>
    <t>7. Проведение работ по обработке (пропитке) сгораемых конструкций зданий</t>
  </si>
  <si>
    <t>МКОУ "Ансалтинская СОШ " (спортзал)</t>
  </si>
  <si>
    <t>МКОУ "Андийская СОШ №2" литер А</t>
  </si>
  <si>
    <t>МКОУ "Андийская СОШ №2" литер Б</t>
  </si>
  <si>
    <t>МКОУ "Андийская СОШ №2" спортзал</t>
  </si>
  <si>
    <t>МКУ "Физкультурно-оздоровительный комплекс"</t>
  </si>
  <si>
    <t>0110390200</t>
  </si>
  <si>
    <t>МКУ "Управление образования"</t>
  </si>
  <si>
    <t>МКУ "Редакция газеты "Дружба"</t>
  </si>
  <si>
    <t>0110390300</t>
  </si>
  <si>
    <t>Уф и Э АМР "Ботлихский район"</t>
  </si>
  <si>
    <t>МКУ "Управление культуры"</t>
  </si>
  <si>
    <t>0110380010</t>
  </si>
  <si>
    <t>МКУ "Центральная библиотека"</t>
  </si>
  <si>
    <t>0110380020</t>
  </si>
  <si>
    <t>ИТОГО прочие</t>
  </si>
  <si>
    <t>МБУ "УЖКХ"</t>
  </si>
  <si>
    <t>ИТОГО по 7 пункту</t>
  </si>
  <si>
    <t xml:space="preserve"> 8. "Обеспечение мероприятий по гражданской обороне в МР "Ботлихский район" на 2022-2024гг</t>
  </si>
  <si>
    <t xml:space="preserve">8. Работы по установке автоматических пожарных сигнализаций </t>
  </si>
  <si>
    <t>МКОУ "Хелетуринская СОШ" (2корпус)</t>
  </si>
  <si>
    <t>МКОУ "Тандовская СОШ" (пристройка)</t>
  </si>
  <si>
    <t>ИТОГО по 8 пункту</t>
  </si>
  <si>
    <t xml:space="preserve">9. Работы по обслуживанию автоматической пожарной сигнализации </t>
  </si>
  <si>
    <t xml:space="preserve">МКОУ "Хелетуринская СОШ" </t>
  </si>
  <si>
    <t xml:space="preserve">МКОУ "Зиловская СОШ" </t>
  </si>
  <si>
    <t>ИТОГО по ДЮСШ</t>
  </si>
  <si>
    <t>ИТОГО по 9 пункту</t>
  </si>
  <si>
    <t>10. Снижение рисков и смягчение последствий чрезвычайных ситуаций природного и техногенного характера на 2022-2024гг</t>
  </si>
  <si>
    <t>ИТОГО АМР "Ботлихский район"</t>
  </si>
  <si>
    <t>ИТОГО по 10 пункту</t>
  </si>
  <si>
    <t xml:space="preserve"> Создание и развитие муниципальной системы оповещения и информирования населения</t>
  </si>
  <si>
    <t>ИТОГО "ЕДДС" АМР "Ботлихский район"</t>
  </si>
  <si>
    <t>Закупка и установка оборудования для МКУ "ЕДДС" муниципального района"</t>
  </si>
  <si>
    <t>Работы по выводу и обслуживанию сигналов  пожарной автоматики "Тревожная кнопка" на пульты управления системы "112"</t>
  </si>
  <si>
    <t>Муниципальное задание</t>
  </si>
  <si>
    <t>Переданные полномочий (Электро, тепло, газоснабжение, ритиуальные услуги, сбор и вывоз бытовых отходов)</t>
  </si>
  <si>
    <t>Соглашения действуют до 31 декабря 2023года</t>
  </si>
  <si>
    <t>Управление финансов и экономик МР "Ботлихский район"</t>
  </si>
  <si>
    <t>На персонифицированное финансирование</t>
  </si>
  <si>
    <t>Итого по Уфи Э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</si>
  <si>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</si>
  <si>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</si>
  <si>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Акцизы на нефть и газ</t>
  </si>
  <si>
    <t>Упрошенная система налогооблажения</t>
  </si>
  <si>
    <t>Штрафы, санкции, взмещение ущерба</t>
  </si>
  <si>
    <t>НАЛОГОВЫЕ ДОХОДЫ</t>
  </si>
  <si>
    <t>ПРЕВЫШЕНИЕ РАСХОДОВ НАД ДОХОДАМИ (ДЕФИЦИТ-СУММА)</t>
  </si>
  <si>
    <t>2025 год</t>
  </si>
  <si>
    <t xml:space="preserve">Компенсация части родительской платы </t>
  </si>
  <si>
    <t xml:space="preserve">Выплаты на питание (завтрак-обед) детям с ОВЗ </t>
  </si>
  <si>
    <t>МКУ "Ботлихская центральная районная библиотека"</t>
  </si>
  <si>
    <t>МКДОУ "Золотой ключик" с.Ботлих</t>
  </si>
  <si>
    <t>Субвенция на выплату компенсации части родительской платы за содержание  ребенка</t>
  </si>
  <si>
    <t>в государственных муниципальных учреждениях и иных образовательных организациях</t>
  </si>
  <si>
    <t>МКОУ "Н-Инхеловская ООШ"</t>
  </si>
  <si>
    <t>МКОУ "Кижанинская ООШ"</t>
  </si>
  <si>
    <t>2025год</t>
  </si>
  <si>
    <t>На оказание бухгалтерских услуг и услуг учебного характера     (226)</t>
  </si>
  <si>
    <t xml:space="preserve">Прочая за-купка това-ров, работ и услуг для
 обеспечения муниципальных нужд (346)  </t>
  </si>
  <si>
    <t xml:space="preserve"> Приложение №6</t>
  </si>
  <si>
    <t>Приложение № 11</t>
  </si>
  <si>
    <t xml:space="preserve"> Приложение №13</t>
  </si>
  <si>
    <t>Приложение №14</t>
  </si>
  <si>
    <t xml:space="preserve">Прочие доходы от оказания платных услуг учреждений </t>
  </si>
  <si>
    <t>на обеспечение питания для пришкольных лагерей</t>
  </si>
  <si>
    <t>Расходы на обеспечение детей-сирот жилыми помещениями</t>
  </si>
  <si>
    <t>расходы на отлов и содержание безнадзорных животных</t>
  </si>
  <si>
    <t>Доходы от уплаты акцизов на ГСМ</t>
  </si>
  <si>
    <t>Субвенция бюджетам муниципальных районов на отлов и содержание безнадзорных животных</t>
  </si>
  <si>
    <t>Субсидии на обеспечение питания учащихся 1-4 классов</t>
  </si>
  <si>
    <t>Субсидии на обеспечение бесплатным двухразовым питанием (завтрак обед) обучающихся с ограниченными возможностями здоровья, том числе детей инвалидов, осваивающие основные общеобразовательные программы на дому</t>
  </si>
  <si>
    <t>Субсидии на обеспечение питания для пришкольных лагерей</t>
  </si>
  <si>
    <t>01 103 10040</t>
  </si>
  <si>
    <t>Субвенция на содержание и отлов безнадзорных животных</t>
  </si>
  <si>
    <t>99 000 40250</t>
  </si>
  <si>
    <t>Переданные полномочия поселений (Утверждение ген планов и т.д.)</t>
  </si>
  <si>
    <t>Программа по поддержке предпринимательства в районе</t>
  </si>
  <si>
    <t>99 000 40300</t>
  </si>
  <si>
    <t>26 101 60050</t>
  </si>
  <si>
    <t>15 300 20760</t>
  </si>
  <si>
    <t>Программа "Мой Дагестан -Мои дороги"</t>
  </si>
  <si>
    <t xml:space="preserve">15 300 20760 </t>
  </si>
  <si>
    <t>Строительство и модернизация автомобильных дорог общего пользования (Проект местных инициатив)</t>
  </si>
  <si>
    <t>Строительство и модернизация автомобильных дорог общего пользования и местного значения по программе "Мой Дагестан - Мои дороги" (МБУ "УЖКХ)</t>
  </si>
  <si>
    <t>Строительство и модернизация автомобильных дорог общего пользования и местного значения по программе "Мой Дагестан - Мои дороги" (Поселения)</t>
  </si>
  <si>
    <t>99 900 41120</t>
  </si>
  <si>
    <t xml:space="preserve">99 900 41120 </t>
  </si>
  <si>
    <t>99 000 400 30</t>
  </si>
  <si>
    <t>Переданные полномочия поселений (Создание жилищных условий строительства)</t>
  </si>
  <si>
    <t>Переданные полномочия (Водоснабжение, Водоотведение</t>
  </si>
  <si>
    <t xml:space="preserve"> Программа проект местных инициатив поселений</t>
  </si>
  <si>
    <t>Программа проект местных инициатив поселений</t>
  </si>
  <si>
    <t>Программа "Комфортная городская среда"</t>
  </si>
  <si>
    <t>46 0F2 55550</t>
  </si>
  <si>
    <t>99 000 40030</t>
  </si>
  <si>
    <t>Компенсация части родительской платы (ясли сады)</t>
  </si>
  <si>
    <t>22 301 81540</t>
  </si>
  <si>
    <t>Школы начальные, неполные средние и средние общие*</t>
  </si>
  <si>
    <t xml:space="preserve">19 202 R3030 </t>
  </si>
  <si>
    <t>Иные закупки товаров, работ и услуг для обеспечения муниципальных нужд (Питание 1-4классов)</t>
  </si>
  <si>
    <t>Расходы на выплаты персоналу за выполнение функций классного руководства</t>
  </si>
  <si>
    <t>Расходы на выплаты персоналу казенных учреждений (Дотация)</t>
  </si>
  <si>
    <t xml:space="preserve"> Дополнительное образование детей (Точки Роста)</t>
  </si>
  <si>
    <t>19 710 99980</t>
  </si>
  <si>
    <t>99 000 70031</t>
  </si>
  <si>
    <t>99 000 70032</t>
  </si>
  <si>
    <t>99 000 70033</t>
  </si>
  <si>
    <t>99 000 70034</t>
  </si>
  <si>
    <t>99 000 70035</t>
  </si>
  <si>
    <t>99 000 70П30</t>
  </si>
  <si>
    <t>19 202 R3040</t>
  </si>
  <si>
    <t>19 202 R7500</t>
  </si>
  <si>
    <t>Капитальные вложения в объекты муниципальной собственности (Проект местных инициатив)</t>
  </si>
  <si>
    <t>Иные закупки товаров, работ и услуг для обеспечения муниципальных нужд (Питание детям с ОВЗ)</t>
  </si>
  <si>
    <t>19 202 И2590</t>
  </si>
  <si>
    <t>Премии гранты</t>
  </si>
  <si>
    <t xml:space="preserve">99 000 70040 </t>
  </si>
  <si>
    <t>Муниципальная программа "Противодействие коррупции"</t>
  </si>
  <si>
    <t>02 101 60400</t>
  </si>
  <si>
    <t>01 103 80010</t>
  </si>
  <si>
    <t xml:space="preserve">01 103 80010  </t>
  </si>
  <si>
    <t>Лучшее учреждение и лучший работник культуры (Гранты)</t>
  </si>
  <si>
    <t>20 2А2 55190</t>
  </si>
  <si>
    <t>20 2А2 55191</t>
  </si>
  <si>
    <t>20 2А2 55192</t>
  </si>
  <si>
    <t>Строительство и модернизация автомобильных дорог общего пользования и местного значения (Поселения) Проект местных инициатив</t>
  </si>
  <si>
    <t>Гранты на поошрение лучшее учреждение культуры</t>
  </si>
  <si>
    <t>Гранты на поошрение лучшее работника учреждение культуры</t>
  </si>
  <si>
    <t>Модернизация библиотек в части комплектования книжного фонда библиотек</t>
  </si>
  <si>
    <t>01 103 80020</t>
  </si>
  <si>
    <t>20 209 R519F</t>
  </si>
  <si>
    <t>Судебная система</t>
  </si>
  <si>
    <t>Мобилизационная и вневойсковая подготовка</t>
  </si>
  <si>
    <t>Гражданская оборона</t>
  </si>
  <si>
    <t>Дополнительное образование детей</t>
  </si>
  <si>
    <t>Телевидение и радилвещание</t>
  </si>
  <si>
    <t>Периодическая печать и издательства</t>
  </si>
  <si>
    <t>Обслуживание государственного (муниципального) внутренного долга</t>
  </si>
  <si>
    <t xml:space="preserve">Иные дотации </t>
  </si>
  <si>
    <t>Спорт высших достижений</t>
  </si>
  <si>
    <t xml:space="preserve">99 000 90200 </t>
  </si>
  <si>
    <t>Пенсионное обеспечение ветеранов за особые заслуги перед районом</t>
  </si>
  <si>
    <t xml:space="preserve">Пенсионное обеспечение </t>
  </si>
  <si>
    <t xml:space="preserve">Социальное обеспечение населения (выплата ветеранам) </t>
  </si>
  <si>
    <t>Компенсация на покупку жилья детям-сиротам из республиканского бюджета</t>
  </si>
  <si>
    <t>Компенсация на покупку жилья детям-сиротам из федерального бюджета</t>
  </si>
  <si>
    <t>22 500 40820</t>
  </si>
  <si>
    <t>22 500 R0820</t>
  </si>
  <si>
    <t>22 307 81520</t>
  </si>
  <si>
    <t>26 101 60040</t>
  </si>
  <si>
    <t>Субсидия из районного бюджета поселениям</t>
  </si>
  <si>
    <t>Спорт всших достижений</t>
  </si>
  <si>
    <t>992 202 25750 05 0000 150</t>
  </si>
  <si>
    <t>На модернизацию школьных систем образования</t>
  </si>
  <si>
    <t>на обеспечение мероприятий по обеспечению деятельности советников директора по воспитанию и взаимодействию с детским общественными объединениями</t>
  </si>
  <si>
    <t>Субсидии на модернизацию школьных систем образования</t>
  </si>
  <si>
    <t>Субсидии на модернизацию библиотек в части комплектования книжных фондов</t>
  </si>
  <si>
    <t>СУММА</t>
  </si>
  <si>
    <t>Расходы на обеспечение деятельности пришкольных лагерей</t>
  </si>
  <si>
    <t>АМР "Ботлихский район"                                (Контрольно-счетная палата муниципального района "Ботлихский район")</t>
  </si>
  <si>
    <t>АМР "Ботлихский район"                                 (Резервные фонды)</t>
  </si>
  <si>
    <t>АМР "Ботлихский район"                                  (Национальная безопасность и правоохранительная система)</t>
  </si>
  <si>
    <t>МКУ "Единая Дежурно-Диспетчерская Служба" АМР "Ботлихский район"</t>
  </si>
  <si>
    <t>УФ и Э АМР "Ботлихский район"                           (Строительство и модернизация автомобильных дорог общего пользования и местного значения)</t>
  </si>
  <si>
    <t>УФ и Э АМР "Ботлихский район"                         (Жилищно-коммунальное хозяйство)</t>
  </si>
  <si>
    <t>Проект местных инициатив</t>
  </si>
  <si>
    <t>Управление образования АМР "Ботлихский район"                                                       (ОБРАЗОВАНИЕ)</t>
  </si>
  <si>
    <t>Расходы Государственного стандарта дошкольных образовательных учреждений</t>
  </si>
  <si>
    <t>Расходы на обеспечение деятельности дошкольных образовательных учреждений</t>
  </si>
  <si>
    <t>ДОШКОЛЬНОЕ ОБРАЗОВАНИЕ</t>
  </si>
  <si>
    <t>Выплаты за выполнение функций классного руководства</t>
  </si>
  <si>
    <t>Расходы на питание учащихся 1-4 классов</t>
  </si>
  <si>
    <t>Модернизация школьных систем образования</t>
  </si>
  <si>
    <t>Расходы на питание детям с ограниченными возможностями здоровья</t>
  </si>
  <si>
    <t>Внешкольная работа с детьми                             (ТОЧКИ РОСТА)</t>
  </si>
  <si>
    <t>КУЛЬТУРА</t>
  </si>
  <si>
    <t>Управление образования АМР "Ботлихский район"  (Пособие детям сиротам)</t>
  </si>
  <si>
    <t>Расходы на выплату пособия детям сиротам</t>
  </si>
  <si>
    <t xml:space="preserve"> Физическая культура и спорт</t>
  </si>
  <si>
    <t>УФ и Э АМР "Ботлихский район"                      МБУДО "Андийская ДЮСШ"</t>
  </si>
  <si>
    <t>ФОТ советников директоров школ</t>
  </si>
  <si>
    <t>Расходы на оплату труда советников директоров</t>
  </si>
  <si>
    <t>МП "Укрепление общественного здоровья в районе"</t>
  </si>
  <si>
    <t>Расходы на укрепление общественного здоровья</t>
  </si>
  <si>
    <t xml:space="preserve">99 000 10010 </t>
  </si>
  <si>
    <t>На поддержку дорожной деятельности</t>
  </si>
  <si>
    <t>992 202 20041 05 0000 150</t>
  </si>
  <si>
    <t>Субсидия на поддержку дорожной деятельности</t>
  </si>
  <si>
    <t>01 709 10040</t>
  </si>
  <si>
    <t>100 000 90100</t>
  </si>
  <si>
    <t>Капитальные вложения в объекты муниципальной собственности (Ремонт спортзалов)</t>
  </si>
  <si>
    <t>Капитальные вложения в объекты муниципальной собственности (Строительство  спортзалов)</t>
  </si>
  <si>
    <t>26 101 60062</t>
  </si>
  <si>
    <t xml:space="preserve">Межбюджетные трансферты  пер-мые бюджету МР Указ главы РД (Гранты)  </t>
  </si>
  <si>
    <t>Прочие межбюджетные трансферты передаваемые бюджетам МР (по дооснащению предметами инвентаря и МБП объектов образования)</t>
  </si>
  <si>
    <t>Пожертвование меценатов на капитальный ремонт</t>
  </si>
  <si>
    <t>Задолженность по ремонту асфальтного покрытия на объектах соцкультбыта (Дотация)</t>
  </si>
  <si>
    <t>Расходы на ремонт дорог</t>
  </si>
  <si>
    <t>Задолженность по ремонту асфальтного покрытия на объектах с.Н.Инхело (Акцизы)</t>
  </si>
  <si>
    <t>Иные выплаты текущего характера физ лицам</t>
  </si>
  <si>
    <t>Расходы на проведение ЕГЭ</t>
  </si>
  <si>
    <t>01 103 90200</t>
  </si>
  <si>
    <t>Итого  прочие</t>
  </si>
  <si>
    <r>
      <t xml:space="preserve">Муниципальная программа "Работы по выводу и обслуживанию сигналов пожарной автоматики "Тревожная кнопка" на пульты управления системы "112" и Работы по выводу и обслуживанию сигналов видеонаблюдения на пульты управления системы "112" района" </t>
    </r>
    <r>
      <rPr>
        <b/>
        <sz val="10"/>
        <rFont val="Times New Roman"/>
        <family val="1"/>
        <charset val="204"/>
      </rPr>
      <t xml:space="preserve"> (Школы)</t>
    </r>
  </si>
  <si>
    <r>
      <t xml:space="preserve">Муниципальная программа ".Работы по выводу и обслуживанию сигналов пожарной автоматики "Тревожная кнопка" на пульты управления системы "112" и Работы по выводу и обслуживанию сигналов видеонаблюдения на пульты управления системы "112" района"  </t>
    </r>
    <r>
      <rPr>
        <b/>
        <sz val="10"/>
        <rFont val="Times New Roman"/>
        <family val="1"/>
        <charset val="204"/>
      </rPr>
      <t>(Ясли сады)</t>
    </r>
  </si>
  <si>
    <t>992 202 35179 05 0000 150</t>
  </si>
  <si>
    <t xml:space="preserve">Информационно-методический центр, хозяйственная  служба управления образования </t>
  </si>
  <si>
    <t>Компенсация части родительской платы           (ясли сады)</t>
  </si>
  <si>
    <t>отк</t>
  </si>
  <si>
    <t>приложение № 1</t>
  </si>
  <si>
    <t xml:space="preserve">  МР "Ботлихский район"  на 2024 год и на плановый период 2025-2026 годов.</t>
  </si>
  <si>
    <t>2026 г</t>
  </si>
  <si>
    <t>165 111 05013 05 0000 120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</si>
  <si>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</si>
  <si>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165 114 02050 05 0000 440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</si>
  <si>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</si>
  <si>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165 114 02052 05 0000 440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</si>
  <si>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</si>
  <si>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165 116  37040 05 0000 140 </t>
  </si>
  <si>
    <t>Поступления сумм в возмещение вреда, причиняемого автомобильным дорогам местного значения    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</si>
  <si>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в т. ч:</t>
  </si>
  <si>
    <t>992 2 02 25467 05 0000 150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</si>
  <si>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</si>
  <si>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(муниципальным программам и непрограммным направлениям деятельности) группам видов расходов классификации расходов бюджета в ведомственной структуре расходов   на 2024 год и на плановый период 2025 - 2026 годов. </t>
  </si>
  <si>
    <t>01 104 10040</t>
  </si>
  <si>
    <t xml:space="preserve">01 105 10040 </t>
  </si>
  <si>
    <r>
      <t xml:space="preserve">Иные субсидии (Содержание, ремонт и строительство автомобильных дорог общего пользования и местного значения). </t>
    </r>
    <r>
      <rPr>
        <b/>
        <sz val="10"/>
        <rFont val="Times New Roman"/>
        <family val="1"/>
        <charset val="204"/>
      </rPr>
      <t>(Поселения АКЦИЗЫ)</t>
    </r>
  </si>
  <si>
    <t xml:space="preserve">99 000 40300 </t>
  </si>
  <si>
    <t>УФ и Э АМР "Ботлихский район"                         (Жилищно-коммунальное хозяйство)                                   (Другие вопросы в области национальной экономики)</t>
  </si>
  <si>
    <t>Функционирование пришкольного лагеря (МКОУ "Рахатинская СОШ")</t>
  </si>
  <si>
    <t>МП "Комплексная программа противодействия идеологии терроризма"</t>
  </si>
  <si>
    <t>01 110 10040</t>
  </si>
  <si>
    <t>МКУ Управление культуры МР "Ботлихский район"</t>
  </si>
  <si>
    <t>01 110 80010</t>
  </si>
  <si>
    <t>Премии и  гранты</t>
  </si>
  <si>
    <t xml:space="preserve">01 110 80020 </t>
  </si>
  <si>
    <t>МКУ "Историко-краеведческий музей" МР "Ботлихский район"</t>
  </si>
  <si>
    <t>01 110 80030</t>
  </si>
  <si>
    <t>МКУ ФОК АМР "Ботлихский район"</t>
  </si>
  <si>
    <t>Субсидии бюдж учр-м на выполнение муниципального социального заказа</t>
  </si>
  <si>
    <t xml:space="preserve"> Субсидии бюдж учр-м на выполнение муниципального социального заказа</t>
  </si>
  <si>
    <t>614</t>
  </si>
  <si>
    <t>01 103 370020</t>
  </si>
  <si>
    <t>МКУ РВК АМР "Ботлихский район"</t>
  </si>
  <si>
    <t>МКУ Редакция районной газеты "Дружба" АМР "Ботлихский район"</t>
  </si>
  <si>
    <t xml:space="preserve">01 110 90300 </t>
  </si>
  <si>
    <t>01 110 90300</t>
  </si>
  <si>
    <t>01 103 90300</t>
  </si>
  <si>
    <t xml:space="preserve">01 103 90300 </t>
  </si>
  <si>
    <t>к приложению 2 к решению Собрания МР "Ботлихский район" на 2024г</t>
  </si>
  <si>
    <t xml:space="preserve">Приложение №3 </t>
  </si>
  <si>
    <t xml:space="preserve"> на 2024 год и на плановый период 2025 - 2026 годов.</t>
  </si>
  <si>
    <t>2024г</t>
  </si>
  <si>
    <t>Молодежная политика и оздоровление детей</t>
  </si>
  <si>
    <t xml:space="preserve">                                                       Приложение №4</t>
  </si>
  <si>
    <t xml:space="preserve">                                                 к решению Собрания депутатов МР "Ботлихский район" </t>
  </si>
  <si>
    <t xml:space="preserve"> на 2024 год и на плановый период 2025 - 2026 годов в районный бюджет </t>
  </si>
  <si>
    <t>2026 год</t>
  </si>
  <si>
    <t>приложение №7</t>
  </si>
  <si>
    <t>Субсидии МБУ ЖКХ на 2024 г.</t>
  </si>
  <si>
    <t xml:space="preserve">Расходы на выполнение муниципального задания </t>
  </si>
  <si>
    <t>приложение №8</t>
  </si>
  <si>
    <t>Субсидии МБУ "Централизованная бухгалтерия" на 2024 г</t>
  </si>
  <si>
    <t>приложение №9</t>
  </si>
  <si>
    <t>Субсидии МБУ (Дополнительного образования) на 2024 г</t>
  </si>
  <si>
    <t>РЦДО и ДЮ с. Ботлих</t>
  </si>
  <si>
    <t>Гранты по виду 615</t>
  </si>
  <si>
    <t>Гранты по виду 625</t>
  </si>
  <si>
    <t>Гранты по виду 635</t>
  </si>
  <si>
    <t>Гранты по виду 816</t>
  </si>
  <si>
    <t>приложение № 10</t>
  </si>
  <si>
    <t>МР "Ботлихский район" на 2024 год и плановый период 2025-2026гг</t>
  </si>
  <si>
    <t xml:space="preserve">Объем бюджетных ассигнований на исполнение  публичных нормативных обязательств в 2024 год и на плановый период 2025 - 2026 годов  </t>
  </si>
  <si>
    <t>Приложение №12</t>
  </si>
  <si>
    <t>на 2024 г и на плановый период 2025 - 2026 годов.</t>
  </si>
  <si>
    <t>для реализации общеобразовательных и дошкольных программ на 2024 год и на плановый период 2025- 2026 годов</t>
  </si>
  <si>
    <t>МКДОУ "Ручеек" с.Миарсо</t>
  </si>
  <si>
    <t xml:space="preserve"> муниципального района "Ботлихский район"на 2024 и плановый период 2025 - 2026 годов</t>
  </si>
  <si>
    <t>приложение №15</t>
  </si>
  <si>
    <t xml:space="preserve">к решению Собрания депутатов </t>
  </si>
  <si>
    <t>Налоги и неналоговые доходы поселений района на 2024 год и на плановый период 2025-2026 годов МР "Ботлихский район"</t>
  </si>
  <si>
    <t>контр за 2023 г</t>
  </si>
  <si>
    <t>приложение №16</t>
  </si>
  <si>
    <t>Оценка ожидаемого исполнения районного бюджета МР "Ботлихский район "на 2023 год</t>
  </si>
  <si>
    <t>Уточненный план на 2023 год по состоянию на 01.12.2023 г.</t>
  </si>
  <si>
    <t>Отчет на 01.12.2023г.</t>
  </si>
  <si>
    <t>Ожидаемое исполнение на 2023 год</t>
  </si>
  <si>
    <t>приложение №17</t>
  </si>
  <si>
    <t>приложение №18</t>
  </si>
  <si>
    <t>Субвенции на выполнение расходных обязательств, возникающих при выполнении полномочий органов местного самоуправления по вопросам местного значения МР "Ботлихский район" на 2024 год и на плановый период 2025 - 2026 годов</t>
  </si>
  <si>
    <t>приложение №19</t>
  </si>
  <si>
    <t>Субвенция поселениям МР "Ботлихский район" на осуществление переданных государственных полномочий по первичному воинскому учету, где отсутствуют военные комиссариаты на 2024год и на плановый период 2025 - 2026 годов</t>
  </si>
  <si>
    <t>Дотация                                                                                                                                                                                                                                                                                                     поселениям МР "Ботлихский район" на выравнивание бюджетной обеспеченности на 2024 год  и на плановый период 2025 - 2026 годов</t>
  </si>
  <si>
    <t>к/ц на 2024</t>
  </si>
  <si>
    <t>Приложение №21</t>
  </si>
  <si>
    <t xml:space="preserve"> на 2024 и плановый период 2025 - 2026 годов</t>
  </si>
  <si>
    <t>ИТОГО ФОНД 2024г</t>
  </si>
  <si>
    <t>2026год</t>
  </si>
  <si>
    <t>Приложение №22</t>
  </si>
  <si>
    <t>МР "Ботлихский район" на 2024 и плановый период 2025 - 2026 годов.</t>
  </si>
  <si>
    <t>сумма на 2024 год</t>
  </si>
  <si>
    <t xml:space="preserve"> от 28  декабря 2023 г №78 </t>
  </si>
  <si>
    <t>На составление ПСД по объектам ЖКХ</t>
  </si>
  <si>
    <t>к Решению Собрания депутатов МР "Ботлихский район"</t>
  </si>
  <si>
    <t xml:space="preserve">"28" декабря 2023 г №78 </t>
  </si>
  <si>
    <t>от  28декабря 2023 г №78</t>
  </si>
  <si>
    <t>от    28декабря 2023 г №78</t>
  </si>
  <si>
    <t>от 28 декабря  2023г №78</t>
  </si>
  <si>
    <t>от  28 декабря 2023 г №78</t>
  </si>
  <si>
    <t>от 28 декабря 2023 г №78</t>
  </si>
  <si>
    <t>от 28декабря 2023 г №78</t>
  </si>
  <si>
    <t>от 28декабря 2023 г.№ 78</t>
  </si>
  <si>
    <t xml:space="preserve"> Резервный фонд  бюджета МР "Ботлихский район"</t>
  </si>
  <si>
    <t>от 28 декабря 2023 г № 78</t>
  </si>
  <si>
    <t>от  28  декабря 2023 г. №78</t>
  </si>
  <si>
    <t>от 28декабря  2023 г №78</t>
  </si>
  <si>
    <t>от  28 декабря 2023г №78</t>
  </si>
  <si>
    <t>от  28 декабря  2023 г №78</t>
  </si>
  <si>
    <t>от 28 декабря  2023 г №78</t>
  </si>
  <si>
    <t>Приложение №20</t>
  </si>
  <si>
    <t>от 28 декабря 2023 г №20</t>
  </si>
  <si>
    <t>выделено</t>
  </si>
  <si>
    <t>необходим</t>
  </si>
  <si>
    <t>нехватает</t>
  </si>
  <si>
    <t xml:space="preserve">Приложение №2                                                                                                                                                                                                                                           к решению  Собрания депутатов МР "Ботлихский район"                                                                                                                                                                                                                          
"28" декабря 2023г. №78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</si>
</sst>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#,##0.0"/>
    <numFmt numFmtId="168" formatCode="0.0000"/>
    <numFmt numFmtId="169" formatCode="#,##0.000"/>
    <numFmt numFmtId="170" formatCode="0.00000000000"/>
    <numFmt numFmtId="171" formatCode="0.00000"/>
  </numFmts>
  <fonts count="62" x14ac:knownFonts="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 Cyr"/>
      <family val="1"/>
      <charset val="204"/>
    </font>
    <font>
      <b/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color indexed="9"/>
      <name val="Arial Cyr"/>
      <charset val="204"/>
    </font>
    <font>
      <b/>
      <sz val="10"/>
      <color indexed="9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 CYR"/>
      <charset val="204"/>
    </font>
    <font>
      <sz val="9"/>
      <name val="Times New Roman"/>
      <family val="1"/>
    </font>
    <font>
      <b/>
      <u/>
      <sz val="12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/>
      <name val="Arial Cyr"/>
      <charset val="204"/>
    </font>
    <font>
      <b/>
      <sz val="10"/>
      <color indexed="1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rgb="FF9C5700"/>
      <name val="Calibri"/>
      <family val="2"/>
      <charset val="204"/>
      <scheme val="minor"/>
    </font>
    <font>
      <sz val="10"/>
      <color rgb="FF00B05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6" fillId="0" borderId="39">
      <alignment horizontal="center" vertical="center" wrapText="1"/>
    </xf>
    <xf numFmtId="0" fontId="46" fillId="0" borderId="0"/>
    <xf numFmtId="0" fontId="47" fillId="0" borderId="40">
      <alignment horizontal="right"/>
    </xf>
    <xf numFmtId="4" fontId="47" fillId="6" borderId="40">
      <alignment horizontal="right" vertical="top" shrinkToFit="1"/>
    </xf>
    <xf numFmtId="4" fontId="47" fillId="7" borderId="40">
      <alignment horizontal="right" vertical="top" shrinkToFit="1"/>
    </xf>
    <xf numFmtId="0" fontId="47" fillId="0" borderId="39">
      <alignment vertical="top" wrapText="1"/>
    </xf>
    <xf numFmtId="49" fontId="46" fillId="0" borderId="39">
      <alignment horizontal="center" vertical="top" shrinkToFit="1"/>
    </xf>
    <xf numFmtId="4" fontId="47" fillId="6" borderId="39">
      <alignment horizontal="right" vertical="top" shrinkToFit="1"/>
    </xf>
    <xf numFmtId="4" fontId="47" fillId="7" borderId="39">
      <alignment horizontal="right" vertical="top" shrinkToFit="1"/>
    </xf>
    <xf numFmtId="0" fontId="10" fillId="0" borderId="0"/>
    <xf numFmtId="164" fontId="1" fillId="0" borderId="0" applyFont="0" applyFill="0" applyBorder="0" applyAlignment="0" applyProtection="0"/>
    <xf numFmtId="0" fontId="55" fillId="0" borderId="0"/>
    <xf numFmtId="0" fontId="57" fillId="10" borderId="0" applyNumberFormat="0" applyBorder="0" applyAlignment="0" applyProtection="0"/>
  </cellStyleXfs>
  <cellXfs count="512">
    <xf numFmtId="0" fontId="0" fillId="0" borderId="0" xfId="0"/>
    <xf numFmtId="0" fontId="0" fillId="0" borderId="1" xfId="0" applyBorder="1"/>
    <xf numFmtId="1" fontId="0" fillId="0" borderId="0" xfId="0" applyNumberForma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0" fontId="2" fillId="0" borderId="0" xfId="0" applyFont="1"/>
    <xf numFmtId="0" fontId="9" fillId="0" borderId="0" xfId="10" applyFont="1" applyProtection="1">
      <protection hidden="1"/>
    </xf>
    <xf numFmtId="0" fontId="9" fillId="0" borderId="0" xfId="10" applyFont="1" applyAlignment="1" applyProtection="1">
      <alignment horizontal="center" wrapText="1"/>
      <protection hidden="1"/>
    </xf>
    <xf numFmtId="0" fontId="9" fillId="0" borderId="0" xfId="10" applyFont="1" applyAlignment="1" applyProtection="1">
      <alignment horizontal="center" vertical="top" wrapText="1"/>
      <protection hidden="1"/>
    </xf>
    <xf numFmtId="0" fontId="11" fillId="3" borderId="1" xfId="0" applyFont="1" applyFill="1" applyBorder="1" applyAlignment="1">
      <alignment horizontal="center" vertical="top" shrinkToFit="1"/>
    </xf>
    <xf numFmtId="49" fontId="9" fillId="3" borderId="1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top" shrinkToFit="1"/>
    </xf>
    <xf numFmtId="0" fontId="9" fillId="3" borderId="1" xfId="0" applyFont="1" applyFill="1" applyBorder="1" applyAlignment="1">
      <alignment horizontal="center" vertical="top" shrinkToFit="1"/>
    </xf>
    <xf numFmtId="0" fontId="7" fillId="0" borderId="0" xfId="10" applyFont="1" applyAlignment="1" applyProtection="1">
      <alignment horizontal="center" wrapText="1"/>
      <protection hidden="1"/>
    </xf>
    <xf numFmtId="0" fontId="10" fillId="3" borderId="0" xfId="0" applyFont="1" applyFill="1"/>
    <xf numFmtId="3" fontId="11" fillId="3" borderId="1" xfId="0" applyNumberFormat="1" applyFont="1" applyFill="1" applyBorder="1" applyAlignment="1">
      <alignment horizontal="center" vertical="top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 vertical="top" wrapText="1"/>
    </xf>
    <xf numFmtId="0" fontId="9" fillId="0" borderId="0" xfId="0" applyFont="1"/>
    <xf numFmtId="1" fontId="9" fillId="0" borderId="0" xfId="0" applyNumberFormat="1" applyFont="1"/>
    <xf numFmtId="168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1" xfId="0" applyFont="1" applyBorder="1"/>
    <xf numFmtId="0" fontId="9" fillId="0" borderId="1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1" fontId="11" fillId="0" borderId="1" xfId="0" applyNumberFormat="1" applyFont="1" applyBorder="1"/>
    <xf numFmtId="0" fontId="15" fillId="0" borderId="1" xfId="0" applyFont="1" applyBorder="1"/>
    <xf numFmtId="3" fontId="9" fillId="0" borderId="1" xfId="0" applyNumberFormat="1" applyFont="1" applyBorder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21" fillId="0" borderId="1" xfId="0" applyFont="1" applyBorder="1"/>
    <xf numFmtId="0" fontId="22" fillId="0" borderId="1" xfId="0" applyFont="1" applyBorder="1"/>
    <xf numFmtId="3" fontId="9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3" fontId="9" fillId="0" borderId="0" xfId="0" applyNumberFormat="1" applyFont="1"/>
    <xf numFmtId="3" fontId="9" fillId="0" borderId="1" xfId="0" applyNumberFormat="1" applyFont="1" applyBorder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14" xfId="0" applyNumberFormat="1" applyFont="1" applyBorder="1" applyAlignment="1">
      <alignment horizontal="right"/>
    </xf>
    <xf numFmtId="3" fontId="11" fillId="0" borderId="0" xfId="0" applyNumberFormat="1" applyFont="1"/>
    <xf numFmtId="3" fontId="0" fillId="0" borderId="0" xfId="0" applyNumberFormat="1"/>
    <xf numFmtId="0" fontId="15" fillId="0" borderId="1" xfId="0" applyFont="1" applyBorder="1" applyAlignment="1">
      <alignment vertical="top" wrapText="1"/>
    </xf>
    <xf numFmtId="0" fontId="8" fillId="0" borderId="0" xfId="0" applyFont="1"/>
    <xf numFmtId="0" fontId="2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16" fillId="0" borderId="0" xfId="0" applyFont="1"/>
    <xf numFmtId="0" fontId="20" fillId="0" borderId="1" xfId="0" applyFont="1" applyBorder="1" applyAlignment="1">
      <alignment horizontal="right" wrapText="1"/>
    </xf>
    <xf numFmtId="0" fontId="20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center" wrapText="1"/>
    </xf>
    <xf numFmtId="3" fontId="11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3" fontId="8" fillId="0" borderId="0" xfId="0" applyNumberFormat="1" applyFont="1"/>
    <xf numFmtId="0" fontId="9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/>
    </xf>
    <xf numFmtId="3" fontId="5" fillId="5" borderId="0" xfId="0" applyNumberFormat="1" applyFont="1" applyFill="1"/>
    <xf numFmtId="3" fontId="5" fillId="0" borderId="0" xfId="0" applyNumberFormat="1" applyFont="1"/>
    <xf numFmtId="3" fontId="15" fillId="5" borderId="0" xfId="0" applyNumberFormat="1" applyFont="1" applyFill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0" xfId="10" applyFont="1" applyAlignment="1" applyProtection="1">
      <alignment horizontal="left" vertical="top" wrapText="1"/>
      <protection hidden="1"/>
    </xf>
    <xf numFmtId="3" fontId="32" fillId="0" borderId="1" xfId="0" applyNumberFormat="1" applyFont="1" applyBorder="1"/>
    <xf numFmtId="3" fontId="29" fillId="0" borderId="0" xfId="0" applyNumberFormat="1" applyFont="1" applyAlignment="1">
      <alignment vertical="top"/>
    </xf>
    <xf numFmtId="3" fontId="23" fillId="0" borderId="0" xfId="0" applyNumberFormat="1" applyFont="1" applyAlignment="1">
      <alignment vertical="top"/>
    </xf>
    <xf numFmtId="3" fontId="33" fillId="0" borderId="1" xfId="0" applyNumberFormat="1" applyFont="1" applyBorder="1"/>
    <xf numFmtId="0" fontId="7" fillId="0" borderId="1" xfId="0" applyFont="1" applyBorder="1" applyAlignment="1">
      <alignment vertical="top" wrapText="1"/>
    </xf>
    <xf numFmtId="0" fontId="38" fillId="0" borderId="1" xfId="0" applyFont="1" applyBorder="1" applyAlignment="1">
      <alignment vertical="justify" wrapText="1"/>
    </xf>
    <xf numFmtId="0" fontId="39" fillId="0" borderId="1" xfId="0" applyFont="1" applyBorder="1" applyAlignment="1">
      <alignment vertical="justify" wrapText="1"/>
    </xf>
    <xf numFmtId="0" fontId="7" fillId="0" borderId="1" xfId="0" applyFont="1" applyBorder="1" applyAlignment="1">
      <alignment vertical="justify" wrapText="1"/>
    </xf>
    <xf numFmtId="0" fontId="40" fillId="0" borderId="1" xfId="0" applyFont="1" applyBorder="1" applyAlignment="1">
      <alignment vertical="top" wrapText="1"/>
    </xf>
    <xf numFmtId="0" fontId="40" fillId="0" borderId="1" xfId="0" applyFont="1" applyBorder="1" applyAlignment="1">
      <alignment wrapText="1"/>
    </xf>
    <xf numFmtId="0" fontId="9" fillId="9" borderId="1" xfId="0" applyFont="1" applyFill="1" applyBorder="1"/>
    <xf numFmtId="0" fontId="9" fillId="9" borderId="0" xfId="0" applyFont="1" applyFill="1"/>
    <xf numFmtId="3" fontId="9" fillId="9" borderId="1" xfId="0" applyNumberFormat="1" applyFont="1" applyFill="1" applyBorder="1"/>
    <xf numFmtId="3" fontId="9" fillId="9" borderId="0" xfId="0" applyNumberFormat="1" applyFont="1" applyFill="1"/>
    <xf numFmtId="3" fontId="11" fillId="9" borderId="1" xfId="0" applyNumberFormat="1" applyFont="1" applyFill="1" applyBorder="1"/>
    <xf numFmtId="3" fontId="14" fillId="0" borderId="1" xfId="0" applyNumberFormat="1" applyFont="1" applyBorder="1" applyAlignment="1">
      <alignment vertical="top"/>
    </xf>
    <xf numFmtId="3" fontId="14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top"/>
    </xf>
    <xf numFmtId="0" fontId="7" fillId="0" borderId="0" xfId="0" applyFont="1" applyAlignment="1">
      <alignment vertical="top"/>
    </xf>
    <xf numFmtId="3" fontId="7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vertical="top"/>
    </xf>
    <xf numFmtId="3" fontId="20" fillId="0" borderId="0" xfId="0" applyNumberFormat="1" applyFont="1" applyAlignment="1">
      <alignment vertical="top"/>
    </xf>
    <xf numFmtId="3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justify" wrapText="1"/>
    </xf>
    <xf numFmtId="0" fontId="20" fillId="0" borderId="1" xfId="0" applyFont="1" applyBorder="1" applyAlignment="1">
      <alignment horizontal="center" wrapText="1"/>
    </xf>
    <xf numFmtId="0" fontId="22" fillId="0" borderId="27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6" fillId="0" borderId="0" xfId="0" applyFont="1"/>
    <xf numFmtId="49" fontId="7" fillId="0" borderId="1" xfId="0" applyNumberFormat="1" applyFont="1" applyBorder="1" applyAlignment="1">
      <alignment vertical="center" wrapText="1"/>
    </xf>
    <xf numFmtId="0" fontId="0" fillId="9" borderId="0" xfId="0" applyFill="1"/>
    <xf numFmtId="0" fontId="14" fillId="9" borderId="1" xfId="0" applyFont="1" applyFill="1" applyBorder="1" applyAlignment="1">
      <alignment vertical="justify" wrapText="1"/>
    </xf>
    <xf numFmtId="0" fontId="30" fillId="9" borderId="1" xfId="0" applyFont="1" applyFill="1" applyBorder="1"/>
    <xf numFmtId="0" fontId="39" fillId="9" borderId="1" xfId="0" applyFont="1" applyFill="1" applyBorder="1" applyAlignment="1">
      <alignment vertical="justify" wrapText="1"/>
    </xf>
    <xf numFmtId="0" fontId="7" fillId="9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3" fontId="51" fillId="0" borderId="0" xfId="0" applyNumberFormat="1" applyFont="1"/>
    <xf numFmtId="14" fontId="9" fillId="0" borderId="1" xfId="0" applyNumberFormat="1" applyFont="1" applyBorder="1" applyAlignment="1">
      <alignment vertical="top" wrapText="1"/>
    </xf>
    <xf numFmtId="49" fontId="41" fillId="0" borderId="10" xfId="0" applyNumberFormat="1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49" fontId="41" fillId="0" borderId="28" xfId="0" applyNumberFormat="1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center" vertical="center" wrapText="1"/>
    </xf>
    <xf numFmtId="0" fontId="33" fillId="0" borderId="0" xfId="0" applyFont="1"/>
    <xf numFmtId="0" fontId="44" fillId="0" borderId="0" xfId="0" applyFont="1" applyAlignment="1">
      <alignment horizontal="right"/>
    </xf>
    <xf numFmtId="0" fontId="44" fillId="0" borderId="0" xfId="0" applyFont="1"/>
    <xf numFmtId="167" fontId="32" fillId="0" borderId="1" xfId="0" applyNumberFormat="1" applyFont="1" applyBorder="1" applyAlignment="1">
      <alignment horizontal="center" vertical="top" wrapText="1"/>
    </xf>
    <xf numFmtId="0" fontId="32" fillId="0" borderId="14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center"/>
    </xf>
    <xf numFmtId="3" fontId="41" fillId="0" borderId="0" xfId="0" applyNumberFormat="1" applyFont="1" applyAlignment="1">
      <alignment horizontal="center"/>
    </xf>
    <xf numFmtId="3" fontId="41" fillId="4" borderId="0" xfId="0" applyNumberFormat="1" applyFont="1" applyFill="1" applyAlignment="1">
      <alignment horizontal="center"/>
    </xf>
    <xf numFmtId="0" fontId="39" fillId="0" borderId="0" xfId="0" applyFont="1" applyAlignment="1">
      <alignment horizontal="left" vertical="center"/>
    </xf>
    <xf numFmtId="0" fontId="21" fillId="9" borderId="1" xfId="0" applyFont="1" applyFill="1" applyBorder="1" applyAlignment="1">
      <alignment horizontal="center" vertical="top" wrapText="1"/>
    </xf>
    <xf numFmtId="3" fontId="15" fillId="2" borderId="1" xfId="0" applyNumberFormat="1" applyFont="1" applyFill="1" applyBorder="1" applyAlignment="1">
      <alignment horizontal="center" vertical="center"/>
    </xf>
    <xf numFmtId="0" fontId="14" fillId="3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left" vertical="top" wrapText="1"/>
    </xf>
    <xf numFmtId="3" fontId="11" fillId="9" borderId="1" xfId="0" applyNumberFormat="1" applyFont="1" applyFill="1" applyBorder="1" applyAlignment="1">
      <alignment horizontal="right"/>
    </xf>
    <xf numFmtId="0" fontId="11" fillId="9" borderId="1" xfId="0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vertical="top"/>
    </xf>
    <xf numFmtId="3" fontId="14" fillId="0" borderId="0" xfId="0" applyNumberFormat="1" applyFont="1" applyAlignment="1">
      <alignment vertical="center"/>
    </xf>
    <xf numFmtId="0" fontId="11" fillId="9" borderId="1" xfId="0" applyFont="1" applyFill="1" applyBorder="1"/>
    <xf numFmtId="0" fontId="53" fillId="0" borderId="1" xfId="11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 vertical="center" wrapText="1"/>
    </xf>
    <xf numFmtId="3" fontId="11" fillId="9" borderId="6" xfId="0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9" borderId="0" xfId="0" applyFont="1" applyFill="1" applyAlignment="1">
      <alignment horizontal="center"/>
    </xf>
    <xf numFmtId="0" fontId="11" fillId="9" borderId="0" xfId="0" applyFont="1" applyFill="1"/>
    <xf numFmtId="0" fontId="3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/>
    </xf>
    <xf numFmtId="3" fontId="11" fillId="9" borderId="0" xfId="0" applyNumberFormat="1" applyFont="1" applyFill="1"/>
    <xf numFmtId="0" fontId="22" fillId="9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right" vertical="center" wrapText="1"/>
    </xf>
    <xf numFmtId="0" fontId="11" fillId="9" borderId="1" xfId="0" applyFont="1" applyFill="1" applyBorder="1" applyAlignment="1">
      <alignment horizontal="left" vertical="center" wrapText="1"/>
    </xf>
    <xf numFmtId="3" fontId="9" fillId="9" borderId="14" xfId="0" applyNumberFormat="1" applyFont="1" applyFill="1" applyBorder="1" applyAlignment="1">
      <alignment horizontal="right"/>
    </xf>
    <xf numFmtId="3" fontId="11" fillId="9" borderId="14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9" fillId="9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20" xfId="0" applyFont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33" fillId="0" borderId="1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167" fontId="49" fillId="0" borderId="0" xfId="0" applyNumberFormat="1" applyFont="1"/>
    <xf numFmtId="0" fontId="54" fillId="0" borderId="0" xfId="0" applyFont="1"/>
    <xf numFmtId="3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shrinkToFit="1"/>
    </xf>
    <xf numFmtId="0" fontId="9" fillId="0" borderId="0" xfId="0" applyFont="1" applyAlignment="1">
      <alignment wrapText="1"/>
    </xf>
    <xf numFmtId="49" fontId="11" fillId="0" borderId="1" xfId="0" applyNumberFormat="1" applyFont="1" applyBorder="1"/>
    <xf numFmtId="0" fontId="32" fillId="0" borderId="1" xfId="0" applyFont="1" applyBorder="1" applyAlignment="1">
      <alignment horizontal="left" vertical="top" wrapText="1"/>
    </xf>
    <xf numFmtId="49" fontId="32" fillId="0" borderId="1" xfId="0" applyNumberFormat="1" applyFont="1" applyBorder="1" applyAlignment="1">
      <alignment horizontal="center"/>
    </xf>
    <xf numFmtId="49" fontId="32" fillId="0" borderId="1" xfId="0" applyNumberFormat="1" applyFont="1" applyBorder="1" applyAlignment="1">
      <alignment horizontal="center" shrinkToFit="1"/>
    </xf>
    <xf numFmtId="3" fontId="3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27" xfId="0" applyFont="1" applyBorder="1" applyAlignment="1">
      <alignment horizontal="left" vertical="top" wrapText="1"/>
    </xf>
    <xf numFmtId="3" fontId="17" fillId="0" borderId="1" xfId="0" applyNumberFormat="1" applyFont="1" applyBorder="1"/>
    <xf numFmtId="3" fontId="52" fillId="0" borderId="1" xfId="0" applyNumberFormat="1" applyFont="1" applyBorder="1"/>
    <xf numFmtId="0" fontId="36" fillId="0" borderId="0" xfId="0" applyFont="1"/>
    <xf numFmtId="3" fontId="36" fillId="0" borderId="0" xfId="0" applyNumberFormat="1" applyFont="1"/>
    <xf numFmtId="3" fontId="37" fillId="0" borderId="0" xfId="0" applyNumberFormat="1" applyFont="1"/>
    <xf numFmtId="0" fontId="9" fillId="9" borderId="0" xfId="0" applyFont="1" applyFill="1" applyAlignment="1">
      <alignment horizontal="center"/>
    </xf>
    <xf numFmtId="0" fontId="11" fillId="9" borderId="1" xfId="0" applyFont="1" applyFill="1" applyBorder="1" applyAlignment="1">
      <alignment horizontal="center" vertical="top"/>
    </xf>
    <xf numFmtId="0" fontId="11" fillId="9" borderId="14" xfId="0" applyFont="1" applyFill="1" applyBorder="1" applyAlignment="1">
      <alignment horizontal="center" vertical="top"/>
    </xf>
    <xf numFmtId="0" fontId="21" fillId="9" borderId="1" xfId="0" applyFont="1" applyFill="1" applyBorder="1"/>
    <xf numFmtId="0" fontId="9" fillId="9" borderId="1" xfId="0" applyFont="1" applyFill="1" applyBorder="1" applyAlignment="1">
      <alignment horizontal="right" wrapText="1"/>
    </xf>
    <xf numFmtId="1" fontId="9" fillId="9" borderId="0" xfId="0" applyNumberFormat="1" applyFont="1" applyFill="1"/>
    <xf numFmtId="0" fontId="22" fillId="9" borderId="1" xfId="0" applyFont="1" applyFill="1" applyBorder="1"/>
    <xf numFmtId="3" fontId="15" fillId="9" borderId="0" xfId="0" applyNumberFormat="1" applyFont="1" applyFill="1"/>
    <xf numFmtId="0" fontId="26" fillId="9" borderId="0" xfId="0" applyFont="1" applyFill="1"/>
    <xf numFmtId="1" fontId="9" fillId="9" borderId="0" xfId="0" applyNumberFormat="1" applyFont="1" applyFill="1" applyAlignment="1">
      <alignment horizontal="right"/>
    </xf>
    <xf numFmtId="3" fontId="22" fillId="9" borderId="0" xfId="0" applyNumberFormat="1" applyFont="1" applyFill="1"/>
    <xf numFmtId="0" fontId="9" fillId="9" borderId="0" xfId="0" applyFont="1" applyFill="1" applyAlignment="1">
      <alignment horizontal="right"/>
    </xf>
    <xf numFmtId="0" fontId="15" fillId="9" borderId="0" xfId="0" applyFont="1" applyFill="1" applyAlignment="1">
      <alignment horizontal="right"/>
    </xf>
    <xf numFmtId="0" fontId="15" fillId="9" borderId="0" xfId="0" applyFont="1" applyFill="1" applyAlignment="1">
      <alignment horizontal="center"/>
    </xf>
    <xf numFmtId="0" fontId="15" fillId="9" borderId="0" xfId="0" applyFont="1" applyFill="1"/>
    <xf numFmtId="1" fontId="11" fillId="9" borderId="1" xfId="0" applyNumberFormat="1" applyFont="1" applyFill="1" applyBorder="1"/>
    <xf numFmtId="1" fontId="50" fillId="9" borderId="1" xfId="0" applyNumberFormat="1" applyFont="1" applyFill="1" applyBorder="1"/>
    <xf numFmtId="3" fontId="50" fillId="9" borderId="1" xfId="0" applyNumberFormat="1" applyFont="1" applyFill="1" applyBorder="1"/>
    <xf numFmtId="0" fontId="6" fillId="9" borderId="0" xfId="0" applyFont="1" applyFill="1"/>
    <xf numFmtId="0" fontId="22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3" fontId="50" fillId="9" borderId="1" xfId="0" applyNumberFormat="1" applyFont="1" applyFill="1" applyBorder="1" applyAlignment="1">
      <alignment horizontal="right" vertical="center" wrapText="1"/>
    </xf>
    <xf numFmtId="3" fontId="50" fillId="9" borderId="1" xfId="0" applyNumberFormat="1" applyFont="1" applyFill="1" applyBorder="1" applyAlignment="1">
      <alignment horizontal="right"/>
    </xf>
    <xf numFmtId="3" fontId="48" fillId="9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0" fontId="11" fillId="9" borderId="2" xfId="0" applyFont="1" applyFill="1" applyBorder="1"/>
    <xf numFmtId="1" fontId="50" fillId="9" borderId="2" xfId="0" applyNumberFormat="1" applyFont="1" applyFill="1" applyBorder="1"/>
    <xf numFmtId="3" fontId="50" fillId="9" borderId="2" xfId="0" applyNumberFormat="1" applyFont="1" applyFill="1" applyBorder="1"/>
    <xf numFmtId="0" fontId="9" fillId="9" borderId="1" xfId="0" applyFont="1" applyFill="1" applyBorder="1" applyAlignment="1">
      <alignment wrapText="1"/>
    </xf>
    <xf numFmtId="0" fontId="22" fillId="0" borderId="2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9" fillId="9" borderId="1" xfId="0" applyNumberFormat="1" applyFont="1" applyFill="1" applyBorder="1"/>
    <xf numFmtId="1" fontId="9" fillId="2" borderId="1" xfId="0" applyNumberFormat="1" applyFont="1" applyFill="1" applyBorder="1"/>
    <xf numFmtId="1" fontId="11" fillId="0" borderId="17" xfId="0" applyNumberFormat="1" applyFont="1" applyBorder="1"/>
    <xf numFmtId="3" fontId="33" fillId="0" borderId="0" xfId="0" applyNumberFormat="1" applyFont="1"/>
    <xf numFmtId="1" fontId="15" fillId="9" borderId="0" xfId="0" applyNumberFormat="1" applyFont="1" applyFill="1"/>
    <xf numFmtId="0" fontId="56" fillId="0" borderId="1" xfId="11" applyNumberFormat="1" applyFont="1" applyFill="1" applyBorder="1" applyAlignment="1" applyProtection="1">
      <alignment horizontal="left" vertical="center" wrapText="1"/>
    </xf>
    <xf numFmtId="1" fontId="11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1" xfId="0" applyFont="1" applyBorder="1" applyAlignment="1">
      <alignment horizontal="left" wrapText="1"/>
    </xf>
    <xf numFmtId="0" fontId="58" fillId="0" borderId="0" xfId="0" applyFont="1"/>
    <xf numFmtId="3" fontId="11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vertical="center"/>
    </xf>
    <xf numFmtId="0" fontId="42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justify" vertical="top" wrapText="1"/>
    </xf>
    <xf numFmtId="49" fontId="11" fillId="0" borderId="1" xfId="0" applyNumberFormat="1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9" borderId="1" xfId="0" applyFont="1" applyFill="1" applyBorder="1" applyAlignment="1">
      <alignment horizontal="center" wrapText="1"/>
    </xf>
    <xf numFmtId="0" fontId="43" fillId="0" borderId="0" xfId="0" applyFont="1"/>
    <xf numFmtId="0" fontId="34" fillId="0" borderId="9" xfId="0" applyFont="1" applyBorder="1" applyAlignment="1">
      <alignment horizontal="left" vertical="center" wrapText="1"/>
    </xf>
    <xf numFmtId="3" fontId="34" fillId="9" borderId="2" xfId="0" applyNumberFormat="1" applyFont="1" applyFill="1" applyBorder="1" applyAlignment="1">
      <alignment horizontal="right"/>
    </xf>
    <xf numFmtId="3" fontId="34" fillId="9" borderId="1" xfId="0" applyNumberFormat="1" applyFont="1" applyFill="1" applyBorder="1" applyAlignment="1">
      <alignment horizontal="right"/>
    </xf>
    <xf numFmtId="1" fontId="43" fillId="0" borderId="0" xfId="0" applyNumberFormat="1" applyFont="1"/>
    <xf numFmtId="0" fontId="34" fillId="0" borderId="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center"/>
    </xf>
    <xf numFmtId="3" fontId="34" fillId="9" borderId="17" xfId="0" applyNumberFormat="1" applyFont="1" applyFill="1" applyBorder="1" applyAlignment="1">
      <alignment horizontal="right"/>
    </xf>
    <xf numFmtId="3" fontId="43" fillId="0" borderId="0" xfId="0" applyNumberFormat="1" applyFont="1" applyAlignment="1">
      <alignment horizontal="center"/>
    </xf>
    <xf numFmtId="0" fontId="7" fillId="0" borderId="1" xfId="0" applyFont="1" applyBorder="1" applyAlignment="1">
      <alignment vertical="center" wrapText="1"/>
    </xf>
    <xf numFmtId="166" fontId="9" fillId="0" borderId="0" xfId="0" applyNumberFormat="1" applyFont="1"/>
    <xf numFmtId="165" fontId="14" fillId="9" borderId="1" xfId="0" applyNumberFormat="1" applyFont="1" applyFill="1" applyBorder="1"/>
    <xf numFmtId="165" fontId="38" fillId="9" borderId="1" xfId="0" applyNumberFormat="1" applyFont="1" applyFill="1" applyBorder="1"/>
    <xf numFmtId="165" fontId="7" fillId="9" borderId="1" xfId="0" applyNumberFormat="1" applyFont="1" applyFill="1" applyBorder="1"/>
    <xf numFmtId="165" fontId="39" fillId="9" borderId="1" xfId="0" applyNumberFormat="1" applyFont="1" applyFill="1" applyBorder="1"/>
    <xf numFmtId="165" fontId="40" fillId="9" borderId="1" xfId="0" applyNumberFormat="1" applyFont="1" applyFill="1" applyBorder="1" applyAlignment="1">
      <alignment wrapText="1"/>
    </xf>
    <xf numFmtId="165" fontId="31" fillId="9" borderId="1" xfId="0" applyNumberFormat="1" applyFont="1" applyFill="1" applyBorder="1"/>
    <xf numFmtId="165" fontId="30" fillId="9" borderId="1" xfId="0" applyNumberFormat="1" applyFont="1" applyFill="1" applyBorder="1"/>
    <xf numFmtId="49" fontId="9" fillId="0" borderId="1" xfId="0" applyNumberFormat="1" applyFont="1" applyBorder="1"/>
    <xf numFmtId="0" fontId="9" fillId="3" borderId="1" xfId="0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center" vertical="top"/>
    </xf>
    <xf numFmtId="0" fontId="9" fillId="9" borderId="1" xfId="0" applyFont="1" applyFill="1" applyBorder="1" applyAlignment="1">
      <alignment horizontal="left" vertical="top" wrapText="1"/>
    </xf>
    <xf numFmtId="49" fontId="9" fillId="9" borderId="1" xfId="0" applyNumberFormat="1" applyFont="1" applyFill="1" applyBorder="1" applyAlignment="1">
      <alignment horizontal="center"/>
    </xf>
    <xf numFmtId="49" fontId="9" fillId="9" borderId="1" xfId="0" applyNumberFormat="1" applyFont="1" applyFill="1" applyBorder="1" applyAlignment="1">
      <alignment horizontal="center" shrinkToFit="1"/>
    </xf>
    <xf numFmtId="0" fontId="9" fillId="9" borderId="1" xfId="0" applyFont="1" applyFill="1" applyBorder="1" applyAlignment="1">
      <alignment horizontal="center" shrinkToFit="1"/>
    </xf>
    <xf numFmtId="170" fontId="9" fillId="9" borderId="0" xfId="0" applyNumberFormat="1" applyFont="1" applyFill="1"/>
    <xf numFmtId="171" fontId="11" fillId="0" borderId="0" xfId="0" applyNumberFormat="1" applyFont="1"/>
    <xf numFmtId="171" fontId="9" fillId="0" borderId="0" xfId="0" applyNumberFormat="1" applyFont="1"/>
    <xf numFmtId="0" fontId="11" fillId="9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49" fontId="11" fillId="9" borderId="1" xfId="0" applyNumberFormat="1" applyFont="1" applyFill="1" applyBorder="1" applyAlignment="1">
      <alignment horizontal="center" shrinkToFit="1"/>
    </xf>
    <xf numFmtId="49" fontId="11" fillId="9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69" fontId="57" fillId="10" borderId="1" xfId="13" applyNumberFormat="1" applyBorder="1"/>
    <xf numFmtId="169" fontId="59" fillId="0" borderId="1" xfId="0" applyNumberFormat="1" applyFont="1" applyBorder="1"/>
    <xf numFmtId="167" fontId="9" fillId="0" borderId="1" xfId="0" applyNumberFormat="1" applyFont="1" applyBorder="1"/>
    <xf numFmtId="166" fontId="59" fillId="0" borderId="1" xfId="0" applyNumberFormat="1" applyFont="1" applyBorder="1"/>
    <xf numFmtId="166" fontId="9" fillId="0" borderId="1" xfId="0" applyNumberFormat="1" applyFont="1" applyBorder="1"/>
    <xf numFmtId="166" fontId="33" fillId="0" borderId="1" xfId="0" applyNumberFormat="1" applyFont="1" applyBorder="1" applyAlignment="1">
      <alignment vertical="center" wrapText="1"/>
    </xf>
    <xf numFmtId="171" fontId="59" fillId="0" borderId="1" xfId="0" applyNumberFormat="1" applyFont="1" applyBorder="1"/>
    <xf numFmtId="167" fontId="60" fillId="0" borderId="1" xfId="0" applyNumberFormat="1" applyFont="1" applyBorder="1"/>
    <xf numFmtId="166" fontId="57" fillId="10" borderId="1" xfId="13" applyNumberFormat="1" applyBorder="1"/>
    <xf numFmtId="171" fontId="57" fillId="10" borderId="1" xfId="13" applyNumberFormat="1" applyBorder="1"/>
    <xf numFmtId="166" fontId="57" fillId="10" borderId="1" xfId="13" applyNumberFormat="1" applyBorder="1" applyAlignment="1">
      <alignment horizontal="right"/>
    </xf>
    <xf numFmtId="0" fontId="15" fillId="0" borderId="1" xfId="0" applyFont="1" applyBorder="1" applyAlignment="1">
      <alignment horizontal="center"/>
    </xf>
    <xf numFmtId="166" fontId="60" fillId="0" borderId="1" xfId="0" applyNumberFormat="1" applyFont="1" applyBorder="1"/>
    <xf numFmtId="0" fontId="15" fillId="0" borderId="1" xfId="0" applyFont="1" applyBorder="1" applyAlignment="1">
      <alignment wrapText="1"/>
    </xf>
    <xf numFmtId="166" fontId="57" fillId="10" borderId="1" xfId="13" applyNumberFormat="1" applyBorder="1" applyAlignment="1">
      <alignment horizontal="left" indent="3"/>
    </xf>
    <xf numFmtId="0" fontId="24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/>
    <xf numFmtId="0" fontId="32" fillId="0" borderId="1" xfId="0" applyFont="1" applyBorder="1"/>
    <xf numFmtId="49" fontId="11" fillId="8" borderId="1" xfId="0" applyNumberFormat="1" applyFont="1" applyFill="1" applyBorder="1" applyAlignment="1">
      <alignment horizontal="center"/>
    </xf>
    <xf numFmtId="3" fontId="32" fillId="0" borderId="1" xfId="0" applyNumberFormat="1" applyFont="1" applyBorder="1" applyAlignment="1">
      <alignment horizontal="center"/>
    </xf>
    <xf numFmtId="0" fontId="61" fillId="9" borderId="0" xfId="0" applyFont="1" applyFill="1" applyAlignment="1">
      <alignment horizontal="right"/>
    </xf>
    <xf numFmtId="0" fontId="41" fillId="0" borderId="0" xfId="0" applyFont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3" fontId="27" fillId="0" borderId="1" xfId="0" applyNumberFormat="1" applyFont="1" applyBorder="1" applyAlignment="1">
      <alignment horizontal="right"/>
    </xf>
    <xf numFmtId="3" fontId="0" fillId="0" borderId="1" xfId="0" applyNumberFormat="1" applyBorder="1"/>
    <xf numFmtId="0" fontId="20" fillId="0" borderId="1" xfId="0" applyFont="1" applyBorder="1" applyAlignment="1">
      <alignment vertical="center" wrapText="1"/>
    </xf>
    <xf numFmtId="3" fontId="27" fillId="0" borderId="1" xfId="0" applyNumberFormat="1" applyFont="1" applyBorder="1"/>
    <xf numFmtId="0" fontId="1" fillId="0" borderId="1" xfId="0" applyFont="1" applyBorder="1"/>
    <xf numFmtId="0" fontId="39" fillId="0" borderId="0" xfId="0" applyFont="1"/>
    <xf numFmtId="0" fontId="30" fillId="0" borderId="0" xfId="0" applyFont="1"/>
    <xf numFmtId="0" fontId="14" fillId="0" borderId="3" xfId="0" applyFont="1" applyBorder="1" applyAlignment="1">
      <alignment horizontal="right"/>
    </xf>
    <xf numFmtId="1" fontId="19" fillId="9" borderId="1" xfId="0" applyNumberFormat="1" applyFont="1" applyFill="1" applyBorder="1" applyAlignment="1">
      <alignment horizontal="right" vertical="center"/>
    </xf>
    <xf numFmtId="1" fontId="20" fillId="9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49" fontId="41" fillId="0" borderId="8" xfId="0" applyNumberFormat="1" applyFont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right"/>
    </xf>
    <xf numFmtId="165" fontId="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10" applyFont="1" applyAlignment="1" applyProtection="1">
      <alignment horizontal="center" wrapText="1"/>
      <protection hidden="1"/>
    </xf>
    <xf numFmtId="0" fontId="11" fillId="0" borderId="0" xfId="0" applyFont="1" applyAlignment="1">
      <alignment horizontal="center" vertical="center" wrapText="1"/>
    </xf>
    <xf numFmtId="0" fontId="9" fillId="0" borderId="0" xfId="10" applyFont="1" applyAlignment="1" applyProtection="1">
      <alignment horizontal="right" vertical="top" wrapText="1"/>
      <protection hidden="1"/>
    </xf>
    <xf numFmtId="0" fontId="38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textRotation="90" wrapText="1"/>
    </xf>
    <xf numFmtId="0" fontId="22" fillId="0" borderId="7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4" fillId="3" borderId="0" xfId="0" applyFont="1" applyFill="1" applyAlignment="1">
      <alignment horizontal="center" vertical="center" wrapText="1"/>
    </xf>
    <xf numFmtId="0" fontId="21" fillId="0" borderId="0" xfId="10" applyFont="1" applyAlignment="1" applyProtection="1">
      <alignment horizontal="right" vertical="top" wrapText="1"/>
      <protection hidden="1"/>
    </xf>
    <xf numFmtId="3" fontId="11" fillId="3" borderId="14" xfId="0" applyNumberFormat="1" applyFont="1" applyFill="1" applyBorder="1" applyAlignment="1">
      <alignment horizontal="left" vertical="center"/>
    </xf>
    <xf numFmtId="3" fontId="11" fillId="3" borderId="19" xfId="0" applyNumberFormat="1" applyFont="1" applyFill="1" applyBorder="1" applyAlignment="1">
      <alignment horizontal="left" vertical="center"/>
    </xf>
    <xf numFmtId="3" fontId="11" fillId="3" borderId="3" xfId="0" applyNumberFormat="1" applyFont="1" applyFill="1" applyBorder="1" applyAlignment="1">
      <alignment horizontal="left" vertical="center"/>
    </xf>
    <xf numFmtId="0" fontId="38" fillId="0" borderId="16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14" fillId="0" borderId="13" xfId="0" applyFont="1" applyBorder="1" applyAlignment="1">
      <alignment horizontal="center" vertical="justify" wrapText="1"/>
    </xf>
    <xf numFmtId="0" fontId="14" fillId="0" borderId="2" xfId="0" applyFont="1" applyBorder="1" applyAlignment="1">
      <alignment horizontal="center" vertical="justify" wrapText="1"/>
    </xf>
    <xf numFmtId="0" fontId="14" fillId="0" borderId="1" xfId="0" applyFont="1" applyBorder="1" applyAlignment="1">
      <alignment horizontal="center" wrapText="1"/>
    </xf>
    <xf numFmtId="0" fontId="27" fillId="0" borderId="0" xfId="0" applyFont="1" applyAlignment="1">
      <alignment horizontal="right" vertical="justify"/>
    </xf>
    <xf numFmtId="0" fontId="27" fillId="0" borderId="16" xfId="0" applyFont="1" applyBorder="1" applyAlignment="1">
      <alignment horizontal="right" vertical="justify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2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9" fillId="8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10" applyAlignment="1">
      <alignment horizontal="right"/>
    </xf>
    <xf numFmtId="0" fontId="9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22" fillId="0" borderId="33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  <xf numFmtId="0" fontId="44" fillId="9" borderId="0" xfId="0" applyFont="1" applyFill="1" applyAlignment="1">
      <alignment horizontal="right"/>
    </xf>
    <xf numFmtId="0" fontId="9" fillId="0" borderId="1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9" fillId="0" borderId="14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61" fillId="9" borderId="0" xfId="0" applyFont="1" applyFill="1" applyAlignment="1">
      <alignment horizontal="right"/>
    </xf>
    <xf numFmtId="0" fontId="61" fillId="0" borderId="0" xfId="0" applyFont="1" applyAlignment="1">
      <alignment horizontal="right"/>
    </xf>
    <xf numFmtId="0" fontId="9" fillId="0" borderId="14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41" fillId="0" borderId="0" xfId="0" applyFont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45" fillId="0" borderId="0" xfId="0" applyFont="1" applyAlignment="1">
      <alignment horizontal="center"/>
    </xf>
    <xf numFmtId="0" fontId="45" fillId="9" borderId="0" xfId="0" applyFont="1" applyFill="1" applyAlignment="1">
      <alignment horizontal="center"/>
    </xf>
    <xf numFmtId="0" fontId="32" fillId="9" borderId="0" xfId="0" applyFont="1" applyFill="1" applyAlignment="1">
      <alignment horizontal="center"/>
    </xf>
    <xf numFmtId="0" fontId="11" fillId="9" borderId="1" xfId="0" applyFont="1" applyFill="1" applyBorder="1" applyAlignment="1">
      <alignment horizontal="center" vertical="top"/>
    </xf>
    <xf numFmtId="0" fontId="9" fillId="9" borderId="14" xfId="0" applyFont="1" applyFill="1" applyBorder="1" applyAlignment="1">
      <alignment horizontal="center" vertical="top"/>
    </xf>
    <xf numFmtId="0" fontId="9" fillId="9" borderId="19" xfId="0" applyFont="1" applyFill="1" applyBorder="1" applyAlignment="1">
      <alignment horizontal="center" vertical="top"/>
    </xf>
    <xf numFmtId="0" fontId="9" fillId="9" borderId="3" xfId="0" applyFont="1" applyFill="1" applyBorder="1" applyAlignment="1">
      <alignment horizontal="center" vertical="top"/>
    </xf>
    <xf numFmtId="0" fontId="22" fillId="9" borderId="5" xfId="0" applyFont="1" applyFill="1" applyBorder="1" applyAlignment="1">
      <alignment horizontal="center" vertical="top" wrapText="1"/>
    </xf>
    <xf numFmtId="0" fontId="22" fillId="9" borderId="2" xfId="0" applyFont="1" applyFill="1" applyBorder="1" applyAlignment="1">
      <alignment horizontal="center" vertical="top" wrapText="1"/>
    </xf>
    <xf numFmtId="0" fontId="21" fillId="9" borderId="5" xfId="0" applyFont="1" applyFill="1" applyBorder="1" applyAlignment="1">
      <alignment horizontal="center" vertical="top" wrapText="1"/>
    </xf>
    <xf numFmtId="0" fontId="21" fillId="9" borderId="21" xfId="0" applyFont="1" applyFill="1" applyBorder="1" applyAlignment="1">
      <alignment horizontal="center" vertical="top" wrapText="1"/>
    </xf>
    <xf numFmtId="0" fontId="21" fillId="9" borderId="2" xfId="0" applyFont="1" applyFill="1" applyBorder="1" applyAlignment="1">
      <alignment horizontal="center" vertical="top" wrapText="1"/>
    </xf>
    <xf numFmtId="0" fontId="21" fillId="9" borderId="13" xfId="0" applyFont="1" applyFill="1" applyBorder="1" applyAlignment="1">
      <alignment horizontal="center" vertical="top" wrapText="1"/>
    </xf>
    <xf numFmtId="0" fontId="21" fillId="9" borderId="6" xfId="0" applyFont="1" applyFill="1" applyBorder="1" applyAlignment="1">
      <alignment horizontal="center" vertical="top" wrapText="1"/>
    </xf>
    <xf numFmtId="0" fontId="9" fillId="9" borderId="5" xfId="0" applyFont="1" applyFill="1" applyBorder="1" applyAlignment="1">
      <alignment horizontal="center" vertical="top" wrapText="1"/>
    </xf>
    <xf numFmtId="0" fontId="9" fillId="9" borderId="2" xfId="0" applyFont="1" applyFill="1" applyBorder="1" applyAlignment="1">
      <alignment horizontal="center" vertical="top" wrapText="1"/>
    </xf>
    <xf numFmtId="0" fontId="21" fillId="9" borderId="15" xfId="0" applyFont="1" applyFill="1" applyBorder="1" applyAlignment="1">
      <alignment horizontal="center" vertical="top" wrapText="1"/>
    </xf>
    <xf numFmtId="0" fontId="21" fillId="9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top" wrapText="1"/>
    </xf>
    <xf numFmtId="0" fontId="35" fillId="9" borderId="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top" wrapText="1"/>
    </xf>
    <xf numFmtId="0" fontId="22" fillId="9" borderId="1" xfId="0" applyFont="1" applyFill="1" applyBorder="1" applyAlignment="1">
      <alignment horizontal="center" vertical="top" wrapText="1"/>
    </xf>
    <xf numFmtId="0" fontId="15" fillId="9" borderId="0" xfId="0" applyFont="1" applyFill="1" applyAlignment="1">
      <alignment horizontal="right"/>
    </xf>
    <xf numFmtId="0" fontId="11" fillId="9" borderId="20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wrapText="1"/>
    </xf>
    <xf numFmtId="0" fontId="11" fillId="9" borderId="7" xfId="0" applyFont="1" applyFill="1" applyBorder="1" applyAlignment="1">
      <alignment horizontal="center" wrapText="1"/>
    </xf>
    <xf numFmtId="0" fontId="11" fillId="9" borderId="21" xfId="0" applyFont="1" applyFill="1" applyBorder="1" applyAlignment="1">
      <alignment horizontal="center" wrapText="1"/>
    </xf>
    <xf numFmtId="0" fontId="11" fillId="9" borderId="2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9" fontId="18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3" fontId="9" fillId="0" borderId="0" xfId="0" applyNumberFormat="1" applyFont="1" applyAlignment="1">
      <alignment horizontal="right" vertical="top"/>
    </xf>
    <xf numFmtId="0" fontId="2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right" wrapText="1"/>
    </xf>
    <xf numFmtId="0" fontId="3" fillId="0" borderId="1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67" fontId="11" fillId="0" borderId="13" xfId="0" applyNumberFormat="1" applyFont="1" applyBorder="1" applyAlignment="1">
      <alignment horizontal="center" vertical="center" wrapText="1"/>
    </xf>
    <xf numFmtId="167" fontId="11" fillId="0" borderId="15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32" fillId="0" borderId="28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67" fontId="32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67" fontId="34" fillId="0" borderId="1" xfId="0" applyNumberFormat="1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67" fontId="34" fillId="0" borderId="13" xfId="0" applyNumberFormat="1" applyFont="1" applyBorder="1" applyAlignment="1">
      <alignment horizontal="center" vertical="center" wrapText="1"/>
    </xf>
    <xf numFmtId="167" fontId="34" fillId="0" borderId="18" xfId="0" applyNumberFormat="1" applyFont="1" applyBorder="1" applyAlignment="1">
      <alignment horizontal="center" vertical="center" wrapText="1"/>
    </xf>
    <xf numFmtId="0" fontId="9" fillId="9" borderId="0" xfId="0" applyFont="1" applyFill="1" applyAlignment="1">
      <alignment horizontal="right"/>
    </xf>
  </cellXfs>
  <cellStyles count="14">
    <cellStyle name="xl25" xfId="1" xr:uid="{00000000-0005-0000-0000-000000000000}"/>
    <cellStyle name="xl28" xfId="2" xr:uid="{00000000-0005-0000-0000-000001000000}"/>
    <cellStyle name="xl30" xfId="3" xr:uid="{00000000-0005-0000-0000-000002000000}"/>
    <cellStyle name="xl31" xfId="4" xr:uid="{00000000-0005-0000-0000-000003000000}"/>
    <cellStyle name="xl32" xfId="5" xr:uid="{00000000-0005-0000-0000-000004000000}"/>
    <cellStyle name="xl33" xfId="6" xr:uid="{00000000-0005-0000-0000-000005000000}"/>
    <cellStyle name="xl36" xfId="7" xr:uid="{00000000-0005-0000-0000-000006000000}"/>
    <cellStyle name="xl37" xfId="8" xr:uid="{00000000-0005-0000-0000-000007000000}"/>
    <cellStyle name="xl40" xfId="9" xr:uid="{00000000-0005-0000-0000-000008000000}"/>
    <cellStyle name="Денежный" xfId="11" builtinId="4"/>
    <cellStyle name="Нейтральный" xfId="13" builtinId="28"/>
    <cellStyle name="Обычный" xfId="0" builtinId="0"/>
    <cellStyle name="Обычный 2" xfId="12" xr:uid="{00000000-0005-0000-0000-00000C000000}"/>
    <cellStyle name="Обычный_tmp" xfId="10" xr:uid="{00000000-0005-0000-0000-00000D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64;&#1072;&#1088;&#1080;&#1087;\Desktop\&#1055;&#1088;&#1086;&#1077;&#1082;&#1090;%20&#1073;&#1102;&#1076;&#1078;&#1077;&#1090;&#1072;%20&#1085;&#1072;%202024&#1075;&#1086;&#1076;\&#1055;&#1088;&#1086;&#1077;&#1082;&#1090;%20&#1073;&#1102;&#1076;&#1078;&#1077;&#1090;&#1072;%202024xlsx.xlsx" TargetMode="External"/><Relationship Id="rId1" Type="http://schemas.openxmlformats.org/officeDocument/2006/relationships/externalLinkPath" Target="&#1055;&#1088;&#1086;&#1077;&#1082;&#1090;%20&#1073;&#1102;&#1076;&#1078;&#1077;&#1090;&#1072;%202024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2"/>
      <sheetName val="Диаграмма1"/>
      <sheetName val="Экран контр"/>
      <sheetName val="Доходы прил №1"/>
      <sheetName val="ВСРБМР прил №2"/>
      <sheetName val="МБУ ЖКХ прил №7"/>
      <sheetName val="МБУ ЖКХ"/>
      <sheetName val="расшифр 1 к №2"/>
      <sheetName val="РазПодр прил №3 "/>
      <sheetName val="межбюд тран.№4"/>
      <sheetName val="Муниц программа прил №6"/>
      <sheetName val="МБУ ЦБ прил №8"/>
      <sheetName val="МБУ внеш учр прил  №9"/>
      <sheetName val="Смета дох и расх по дор фон №10"/>
      <sheetName val="Публ. объяз №11"/>
      <sheetName val="смета резер №12"/>
      <sheetName val=" Гостандарт прил №13 "/>
      <sheetName val=" компенс части род плат №14"/>
      <sheetName val="Налоги посел №15"/>
      <sheetName val="Оценка прил №16"/>
      <sheetName val=" расчСубс пос на гор сред прил "/>
      <sheetName val="Субв пос на перед полн прил №17"/>
      <sheetName val="Расч дот РФФПП"/>
      <sheetName val=" ВУС прил №18"/>
      <sheetName val="Дотация пос прил №19"/>
      <sheetName val=" классное руководство прил №20"/>
      <sheetName val="  пит уч на дом обуч прил №21"/>
      <sheetName val="Прил №22  Пит уча 1 4кл "/>
      <sheetName val="Свод бюджета района"/>
      <sheetName val="Расц"/>
      <sheetName val="Школы"/>
      <sheetName val="Расчет питания ОВЗ"/>
      <sheetName val="Расчет питания 1-кл"/>
      <sheetName val="Ясли сады"/>
      <sheetName val="Администрация"/>
      <sheetName val="МКУ &quot;Редакция&quot;"/>
      <sheetName val="МКУ &quot;ЕДДС&quot;"/>
      <sheetName val="МКУ &quot;Хозслужба&quot;"/>
      <sheetName val="МКУ &quot;БЦРБ&quot;"/>
      <sheetName val="МКУ &quot;УК&quot;"/>
      <sheetName val="МКУ &quot;Истор краев музей&quot; АМР "/>
      <sheetName val="МКУ &quot;УО&quot;"/>
      <sheetName val="МКУ &quot;РВК&quot;"/>
      <sheetName val="МКУ &quot;ФОК&quot;"/>
      <sheetName val="МКУ &quot;ФУ&quot;"/>
      <sheetName val="МКУ &quot;УСХ&quot;"/>
      <sheetName val="МКУ &quot;ИМЦ УО&quot;"/>
      <sheetName val="МБУ внешк учрежд"/>
      <sheetName val="Мои дороги поселения прил № "/>
      <sheetName val="МБУ ЦБ"/>
      <sheetName val="АУ СВОД"/>
      <sheetName val="Администрация (контр)  "/>
      <sheetName val="МКУ &quot;Хозслужба&quot; конт"/>
      <sheetName val="МКУ &quot;ЕДДС&quot; (контр)"/>
      <sheetName val="СВОД культура"/>
      <sheetName val="СВОД культура контр"/>
      <sheetName val="МКУ &quot;Музей&quot; контр"/>
      <sheetName val="МКУ &quot;БЦРБ&quot; контр"/>
      <sheetName val="МКУ &quot;УК&quot; контр"/>
      <sheetName val="МКУ &quot;РВК&quot; контр"/>
      <sheetName val="МКУ &quot;ФОК&quot; конт"/>
      <sheetName val="Редакция  (контр)"/>
      <sheetName val="СВОД ФУ"/>
      <sheetName val="СВОД ФУ контр"/>
      <sheetName val="МКУ &quot;ФУ&quot; контр"/>
      <sheetName val="МКУ &quot;УСХ&quot; контр"/>
      <sheetName val="МКУ &quot;УО&quot; контр"/>
      <sheetName val="МКУ &quot;ИМЦ&quot; контр"/>
      <sheetName val="МБУ внешк свод контр"/>
      <sheetName val="МБУ РЦДОДЮ контр"/>
      <sheetName val="МБУ Ансалта ДЮСШ контр"/>
      <sheetName val="МБУ Ботлих ДЮСШ контр"/>
      <sheetName val="МБУ Тлох ДЮСШ контр"/>
      <sheetName val="МБУ Анди ДЮСШ контр"/>
      <sheetName val="МБУ ЖКХ контр "/>
      <sheetName val="МБУ ЦБ контр"/>
      <sheetName val="Свод образ"/>
      <sheetName val="Свод образ (контр)"/>
      <sheetName val="Ясли сады свод контр"/>
      <sheetName val="МКДОУ &quot;Ромашка&quot; Алак "/>
      <sheetName val="МКДОУ &quot;Светлячок&quot; с.Анди"/>
      <sheetName val="МКДОУ &quot;Аист&quot; с.Ансалта"/>
      <sheetName val="МКДОУ &quot;Чебурашка&quot; с.Ботлих"/>
      <sheetName val="МКДОУ &quot;Солнышко&quot; с.Ботлих"/>
      <sheetName val="МКДОУ &quot;Родничок&quot; с.Ботлих"/>
      <sheetName val="МКДОУ &quot;Золотой ключик&quot; с.Ботлих"/>
      <sheetName val="МКДОУ &quot;Орленок&quot; с.Гагатли"/>
      <sheetName val="МКДОУ &quot;Улыбка&quot; с.Муни"/>
      <sheetName val="МКДОУ &quot;Ручеек&quot; с.Миарсо"/>
      <sheetName val="МКДОУ &quot;Ласточка&quot; с.Рахата"/>
      <sheetName val="МКДОУ &quot;Звездочка&quot; с.Тандо"/>
      <sheetName val="МКДОУ &quot;Радуга&quot; с.Тлох"/>
      <sheetName val="МКДОУ &quot;Сказка&quot; с.Ашали"/>
      <sheetName val="МКДОУ &quot;Журавлик&quot; с.Шодрода"/>
      <sheetName val="МКДОУ &quot;Теремок&quot; с.Годобери"/>
      <sheetName val="МКДОУ &quot;Орленок&quot; с.Зило"/>
      <sheetName val="СОШ контр"/>
      <sheetName val="МКОУ &quot;Алакский лицей&quot; контр"/>
      <sheetName val="МКОУ &quot;Анди СОШ №1&quot; контр"/>
      <sheetName val="МКОУ &quot;Анди СОШ №2&quot; контр"/>
      <sheetName val="МКОУ &quot;Ансалтинская СОШ&quot; контр"/>
      <sheetName val="МКОУ &quot;Ботлихская СОШ№1&quot; контр"/>
      <sheetName val="МКОУ &quot;Ботлихская СОШ №2&quot; контр"/>
      <sheetName val="МКОУ &quot;Ботлихская СОШ №3&quot; контр"/>
      <sheetName val="МКОУ &quot;Гагатлинская СОШ&quot; контр"/>
      <sheetName val="МКОУ &quot;Годоберинская СОШ&quot; контр"/>
      <sheetName val="МКОУ &quot;Зиловская СОШ&quot; контр"/>
      <sheetName val="МКОУ &quot;Миарсинская СОШ&quot; контр"/>
      <sheetName val="МКОУ &quot;Мунинская СОШ&quot; контр"/>
      <sheetName val="МКОУ &quot;Ортаколинская СОШ&quot; контр"/>
      <sheetName val="МКОУ &quot;Рахатинская СОШ&quot; контр"/>
      <sheetName val="МКОУ &quot;Рикванинская СОШ&quot; контр"/>
      <sheetName val="МКОУ &quot;Тандовская СОШ&quot; контр"/>
      <sheetName val="МКОУ &quot;Тлохская СОШ&quot; контр"/>
      <sheetName val="МКОУ &quot;Хелетуринская СОШ&quot; контр"/>
      <sheetName val="МКОУ &quot;Чанковская СОШ&quot; контр"/>
      <sheetName val="МКОУ &quot;Шодродинская СОШ&quot; контр"/>
      <sheetName val="ООШ контр"/>
      <sheetName val="МКОУ &quot;Ашалинская ООШ&quot; контр"/>
      <sheetName val="МКОУ &quot;Кванхидатлинская ООШ&quot;конр"/>
      <sheetName val="МКОУ &quot;Тасутинская ООШ&quot; контр"/>
      <sheetName val="МКОУ &quot;Н-Инхеловская ООШ&quot; контр"/>
      <sheetName val="МКОУ &quot;Кижанинская ООШ&quot; контр"/>
      <sheetName val="НОШ контр"/>
      <sheetName val="МКОУ &quot;Белединская НОШ&quot; контр"/>
      <sheetName val="МКОУ&quot;В-Алак НОШ&quot; контр "/>
      <sheetName val="МКОУ &quot;Гунховская НОШ&quot; конт"/>
      <sheetName val="МКОУ &quot;Зибирхалинская НОШ&quot; контр"/>
      <sheetName val="МКОУ &quot;Н-Алакская НОШ&quot; контр"/>
      <sheetName val="МКОУ &quot;Шивортинская НОШ&quot; контр"/>
      <sheetName val="Свод педнагрузка"/>
      <sheetName val="Алак СОШ"/>
      <sheetName val="Анди СОШ 1"/>
      <sheetName val="Анди СОШ 2"/>
      <sheetName val="Ансалта СОШ"/>
      <sheetName val="БСШ №1"/>
      <sheetName val="БСШ №2"/>
      <sheetName val="БСШ №3"/>
      <sheetName val="Гагатли СОШ"/>
      <sheetName val="Годобери СОШ"/>
      <sheetName val="Зило СОШ"/>
      <sheetName val="Миарсо СОШ"/>
      <sheetName val="Муни СОШ"/>
      <sheetName val="Ортоколо СОШ"/>
      <sheetName val="Рахата СОШ"/>
      <sheetName val="Риквани СОШ"/>
      <sheetName val="Тандо СОШ"/>
      <sheetName val="Тлох СОШ"/>
      <sheetName val="Хелетури СОШ"/>
      <sheetName val="Чанко СОШ"/>
      <sheetName val="Шодрода СОШ"/>
      <sheetName val="Ашали ООШ"/>
      <sheetName val="Кванхидатли ООШ"/>
      <sheetName val="Тасута ООШ"/>
      <sheetName val="Инхело ООШ"/>
      <sheetName val="Кижани ООШ"/>
      <sheetName val="Беледи НОШ"/>
      <sheetName val="В-Алак НОШ"/>
      <sheetName val="Гунха НОШ"/>
      <sheetName val="Зибирхали НОШ"/>
      <sheetName val="Н-Алак НОШ"/>
      <sheetName val="Шиворта НОШ"/>
      <sheetName val="Свод штат"/>
      <sheetName val="Свод школ"/>
      <sheetName val="Алак СОШ "/>
      <sheetName val="Анди СОШ №1"/>
      <sheetName val="Анди СОШ №2"/>
      <sheetName val="Ансалта СОШ "/>
      <sheetName val="Ашали ООШ "/>
      <sheetName val="БСШ №1 "/>
      <sheetName val="БСШ №2 "/>
      <sheetName val="БСШ №3 "/>
      <sheetName val="Гагатли СОШ "/>
      <sheetName val="Годобери СОШ "/>
      <sheetName val="Зило СОШ "/>
      <sheetName val="Кванхидатли ООШ "/>
      <sheetName val="Миарсо СОШ "/>
      <sheetName val="Муни СОШ "/>
      <sheetName val="Ортоколо СОШ "/>
      <sheetName val="Рахата СОШ "/>
      <sheetName val="Риквани СОШ "/>
      <sheetName val="Тандо СОШ "/>
      <sheetName val="Тасута ООШ "/>
      <sheetName val="Тлох СОШ "/>
      <sheetName val="Хелетури СОШ "/>
      <sheetName val="Чанко СОШ "/>
      <sheetName val="Шодрода СОШ "/>
      <sheetName val="Инхело ООШ "/>
      <sheetName val="Кижани ООШ "/>
      <sheetName val=" Беледи НОШ "/>
      <sheetName val="В-Алак НОШ "/>
      <sheetName val="Гунха НОШ "/>
      <sheetName val="Зибирхали НОШ "/>
      <sheetName val="Н-Алак НОШ "/>
      <sheetName val="Шиворта НОШ "/>
      <sheetName val="Полож дотац"/>
      <sheetName val="Расчет дотации"/>
      <sheetName val="Субсид посел из района №"/>
      <sheetName val="Автоакц прил №"/>
      <sheetName val="Местные иници поселен прил №"/>
      <sheetName val="Бюдж расх посел"/>
      <sheetName val="коэфф зарплаты"/>
      <sheetName val="Итого поселений"/>
      <sheetName val="Алак"/>
      <sheetName val=" Анди "/>
      <sheetName val="Ансалта"/>
      <sheetName val=" Ашали"/>
      <sheetName val=" Ботлих "/>
      <sheetName val="Гагатли"/>
      <sheetName val="Годобери"/>
      <sheetName val=" Зило "/>
      <sheetName val="Инхело "/>
      <sheetName val="Кванхидатли"/>
      <sheetName val="Кижани"/>
      <sheetName val="Миарсо "/>
      <sheetName val="Муни"/>
      <sheetName val="Рахата"/>
      <sheetName val="Риквани "/>
      <sheetName val="Тандо"/>
      <sheetName val="Тлох"/>
      <sheetName val="Хелетури"/>
      <sheetName val="Чанко "/>
      <sheetName val="Шодрода "/>
      <sheetName val="Налоги поселений проект"/>
      <sheetName val="Дотация посе проект"/>
      <sheetName val="ВУС проект"/>
      <sheetName val="Перед полномоч проект"/>
      <sheetName val="Итого поселений проект"/>
      <sheetName val="Алак проект"/>
      <sheetName val=" Анди проект"/>
      <sheetName val="Ансалта проект"/>
      <sheetName val=" Ашали проект"/>
      <sheetName val=" Ботлих проект"/>
      <sheetName val="Гагатли проект"/>
      <sheetName val="Годобери проект"/>
      <sheetName val=" Зило проект"/>
      <sheetName val="Инхело проект"/>
      <sheetName val="Кванхидатли проект"/>
      <sheetName val="Кижани проект"/>
      <sheetName val="Миарсо проект"/>
      <sheetName val="Муни проект"/>
      <sheetName val="Рахата проект"/>
      <sheetName val="Риквани проект"/>
      <sheetName val="Тандо проект"/>
      <sheetName val="Тлох проект"/>
      <sheetName val="Хелетури проект"/>
      <sheetName val="Чанко проект"/>
      <sheetName val="Шодрода проект"/>
    </sheetNames>
    <sheetDataSet>
      <sheetData sheetId="0"/>
      <sheetData sheetId="1" refreshError="1"/>
      <sheetData sheetId="2"/>
      <sheetData sheetId="3">
        <row r="14">
          <cell r="E14">
            <v>42011.726000000002</v>
          </cell>
          <cell r="F14">
            <v>44917.4</v>
          </cell>
          <cell r="G14">
            <v>46413.1</v>
          </cell>
        </row>
        <row r="30">
          <cell r="E30">
            <v>258700</v>
          </cell>
          <cell r="F30">
            <v>195062</v>
          </cell>
          <cell r="G30">
            <v>195062</v>
          </cell>
        </row>
        <row r="36">
          <cell r="E36">
            <v>20913.09</v>
          </cell>
          <cell r="F36">
            <v>0</v>
          </cell>
          <cell r="G36">
            <v>0</v>
          </cell>
        </row>
        <row r="37">
          <cell r="E37">
            <v>32232.863280000001</v>
          </cell>
          <cell r="F37">
            <v>32232.863280000001</v>
          </cell>
          <cell r="G37">
            <v>32232.863280000001</v>
          </cell>
        </row>
        <row r="38">
          <cell r="E38">
            <v>953.80380000000002</v>
          </cell>
          <cell r="F38">
            <v>953.80380000000002</v>
          </cell>
          <cell r="G38">
            <v>953.80380000000002</v>
          </cell>
        </row>
        <row r="39">
          <cell r="E39">
            <v>13941.075999999999</v>
          </cell>
          <cell r="F39">
            <v>18659.13</v>
          </cell>
          <cell r="G39">
            <v>18987.477999999999</v>
          </cell>
        </row>
        <row r="40">
          <cell r="E40">
            <v>0</v>
          </cell>
          <cell r="F40">
            <v>21771.052629999998</v>
          </cell>
          <cell r="G40">
            <v>80272.842109999998</v>
          </cell>
        </row>
        <row r="41">
          <cell r="E41">
            <v>204.42083</v>
          </cell>
          <cell r="F41">
            <v>204.75841</v>
          </cell>
          <cell r="G41">
            <v>211.63293999999999</v>
          </cell>
        </row>
        <row r="42">
          <cell r="E42">
            <v>0</v>
          </cell>
          <cell r="F42">
            <v>7000</v>
          </cell>
          <cell r="G42">
            <v>0</v>
          </cell>
        </row>
        <row r="43">
          <cell r="E43">
            <v>52.415999999999997</v>
          </cell>
          <cell r="F43">
            <v>52.415999999999997</v>
          </cell>
          <cell r="G43">
            <v>52.415999999999997</v>
          </cell>
        </row>
        <row r="46">
          <cell r="E46">
            <v>547571</v>
          </cell>
          <cell r="F46">
            <v>547571</v>
          </cell>
          <cell r="G46">
            <v>547571</v>
          </cell>
        </row>
        <row r="47">
          <cell r="E47">
            <v>155553</v>
          </cell>
          <cell r="F47">
            <v>155553</v>
          </cell>
          <cell r="G47">
            <v>155553</v>
          </cell>
        </row>
        <row r="48">
          <cell r="E48">
            <v>2051</v>
          </cell>
          <cell r="F48">
            <v>2123</v>
          </cell>
          <cell r="G48">
            <v>2207</v>
          </cell>
        </row>
        <row r="49">
          <cell r="E49">
            <v>1830</v>
          </cell>
          <cell r="F49">
            <v>1830</v>
          </cell>
          <cell r="G49">
            <v>1830</v>
          </cell>
        </row>
        <row r="50">
          <cell r="E50">
            <v>1505.4</v>
          </cell>
          <cell r="F50">
            <v>1505.4</v>
          </cell>
          <cell r="G50">
            <v>1505.4</v>
          </cell>
        </row>
        <row r="51">
          <cell r="E51">
            <v>200</v>
          </cell>
          <cell r="F51">
            <v>200</v>
          </cell>
          <cell r="G51">
            <v>200</v>
          </cell>
        </row>
        <row r="52">
          <cell r="E52">
            <v>66.099999999999994</v>
          </cell>
          <cell r="F52">
            <v>66.099999999999994</v>
          </cell>
          <cell r="G52">
            <v>66.099999999999994</v>
          </cell>
        </row>
        <row r="53">
          <cell r="E53">
            <v>34445.69</v>
          </cell>
          <cell r="F53">
            <v>34445.69</v>
          </cell>
          <cell r="G53">
            <v>34445.69</v>
          </cell>
        </row>
        <row r="54">
          <cell r="E54">
            <v>1879.2729999999999</v>
          </cell>
          <cell r="F54">
            <v>1879.2729999999999</v>
          </cell>
          <cell r="G54">
            <v>2189.165</v>
          </cell>
        </row>
        <row r="55">
          <cell r="E55">
            <v>115349</v>
          </cell>
          <cell r="F55">
            <v>84943</v>
          </cell>
          <cell r="G55">
            <v>84943</v>
          </cell>
        </row>
        <row r="56">
          <cell r="E56">
            <v>4603.3999999999996</v>
          </cell>
          <cell r="F56">
            <v>5076.3999999999996</v>
          </cell>
          <cell r="G56">
            <v>5560.6</v>
          </cell>
        </row>
        <row r="57">
          <cell r="E57">
            <v>393</v>
          </cell>
          <cell r="F57">
            <v>393</v>
          </cell>
          <cell r="G57">
            <v>393</v>
          </cell>
        </row>
        <row r="58">
          <cell r="E58">
            <v>787</v>
          </cell>
          <cell r="F58">
            <v>787</v>
          </cell>
          <cell r="G58">
            <v>787</v>
          </cell>
        </row>
        <row r="59">
          <cell r="E59">
            <v>787</v>
          </cell>
          <cell r="F59">
            <v>787</v>
          </cell>
          <cell r="G59">
            <v>787</v>
          </cell>
        </row>
        <row r="60">
          <cell r="E60">
            <v>3.89</v>
          </cell>
          <cell r="F60">
            <v>25.4</v>
          </cell>
          <cell r="G60">
            <v>68.63</v>
          </cell>
        </row>
        <row r="63">
          <cell r="E63">
            <v>1376424.94891</v>
          </cell>
          <cell r="F63">
            <v>1278162.4871199999</v>
          </cell>
          <cell r="G63">
            <v>1332416.52113</v>
          </cell>
        </row>
      </sheetData>
      <sheetData sheetId="4">
        <row r="10">
          <cell r="G10">
            <v>1943699.2739199998</v>
          </cell>
          <cell r="H10">
            <v>1943699.2739199998</v>
          </cell>
          <cell r="I10">
            <v>1943699.2739199998</v>
          </cell>
        </row>
        <row r="14">
          <cell r="G14">
            <v>2149571.3926399997</v>
          </cell>
          <cell r="H14">
            <v>2149571.3926399997</v>
          </cell>
          <cell r="I14">
            <v>2149571.3926399997</v>
          </cell>
        </row>
        <row r="17">
          <cell r="G17">
            <v>16104650.067600003</v>
          </cell>
          <cell r="H17">
            <v>15491238.387100002</v>
          </cell>
          <cell r="I17">
            <v>15491238.387100002</v>
          </cell>
        </row>
        <row r="21">
          <cell r="H21">
            <v>0</v>
          </cell>
          <cell r="I21">
            <v>0</v>
          </cell>
        </row>
        <row r="27">
          <cell r="G27">
            <v>3890</v>
          </cell>
          <cell r="H27">
            <v>25400</v>
          </cell>
          <cell r="I27">
            <v>68630</v>
          </cell>
        </row>
        <row r="29">
          <cell r="G29">
            <v>6357308.9708799999</v>
          </cell>
          <cell r="H29">
            <v>6357308.9708799999</v>
          </cell>
          <cell r="I29">
            <v>6357308.9708799999</v>
          </cell>
        </row>
        <row r="33">
          <cell r="G33">
            <v>19500</v>
          </cell>
          <cell r="H33">
            <v>0</v>
          </cell>
          <cell r="I33">
            <v>0</v>
          </cell>
        </row>
        <row r="35">
          <cell r="G35">
            <v>2176392.9259199998</v>
          </cell>
          <cell r="H35">
            <v>2166392.9259199998</v>
          </cell>
          <cell r="I35">
            <v>2166392.9259199998</v>
          </cell>
        </row>
        <row r="39">
          <cell r="G39">
            <v>9120126.2999999989</v>
          </cell>
          <cell r="H39">
            <v>9120126.2999999989</v>
          </cell>
          <cell r="I39">
            <v>9120126.2999999989</v>
          </cell>
        </row>
        <row r="41">
          <cell r="G41">
            <v>15000</v>
          </cell>
          <cell r="H41">
            <v>15000</v>
          </cell>
          <cell r="I41">
            <v>15000</v>
          </cell>
        </row>
        <row r="43">
          <cell r="G43">
            <v>45000</v>
          </cell>
          <cell r="H43">
            <v>45000</v>
          </cell>
          <cell r="I43">
            <v>45000</v>
          </cell>
        </row>
        <row r="45">
          <cell r="G45">
            <v>2159694.6055999999</v>
          </cell>
          <cell r="H45">
            <v>2159694.6055999999</v>
          </cell>
          <cell r="I45">
            <v>2159694.6055999999</v>
          </cell>
        </row>
        <row r="49">
          <cell r="G49">
            <v>393000.016</v>
          </cell>
          <cell r="H49">
            <v>393000.016</v>
          </cell>
          <cell r="I49">
            <v>393000.016</v>
          </cell>
        </row>
        <row r="52">
          <cell r="G52">
            <v>787000.20512000006</v>
          </cell>
          <cell r="H52">
            <v>787000.20512000006</v>
          </cell>
          <cell r="I52">
            <v>787000.20512000006</v>
          </cell>
        </row>
        <row r="55">
          <cell r="G55">
            <v>66100</v>
          </cell>
          <cell r="H55">
            <v>66100</v>
          </cell>
          <cell r="I55">
            <v>66100</v>
          </cell>
        </row>
        <row r="57">
          <cell r="G57">
            <v>9981501.0233999994</v>
          </cell>
          <cell r="H57">
            <v>9981501.0233999994</v>
          </cell>
          <cell r="I57">
            <v>9981501.0233999994</v>
          </cell>
        </row>
        <row r="61">
          <cell r="G61">
            <v>3393525.6</v>
          </cell>
          <cell r="H61">
            <v>3393525.6</v>
          </cell>
          <cell r="I61">
            <v>3393525.6</v>
          </cell>
        </row>
        <row r="64">
          <cell r="G64">
            <v>4603400</v>
          </cell>
          <cell r="H64">
            <v>5076400</v>
          </cell>
          <cell r="I64">
            <v>5560600</v>
          </cell>
        </row>
        <row r="67">
          <cell r="G67">
            <v>250000</v>
          </cell>
          <cell r="H67">
            <v>0</v>
          </cell>
          <cell r="I67">
            <v>0</v>
          </cell>
        </row>
        <row r="69">
          <cell r="G69">
            <v>1500000</v>
          </cell>
          <cell r="H69">
            <v>0</v>
          </cell>
          <cell r="I69">
            <v>0</v>
          </cell>
        </row>
        <row r="71">
          <cell r="G71">
            <v>230000</v>
          </cell>
          <cell r="H71">
            <v>0</v>
          </cell>
          <cell r="I71">
            <v>0</v>
          </cell>
        </row>
        <row r="73">
          <cell r="G73">
            <v>1832404.6702400001</v>
          </cell>
          <cell r="H73">
            <v>1832404.6702400001</v>
          </cell>
          <cell r="I73">
            <v>1832404.6702400001</v>
          </cell>
        </row>
        <row r="76">
          <cell r="G76">
            <v>3440749.53321</v>
          </cell>
          <cell r="H76">
            <v>3440749.53321</v>
          </cell>
          <cell r="I76">
            <v>3440749.53321</v>
          </cell>
        </row>
        <row r="81">
          <cell r="G81">
            <v>96000</v>
          </cell>
          <cell r="H81">
            <v>0</v>
          </cell>
          <cell r="I81">
            <v>0</v>
          </cell>
        </row>
        <row r="82">
          <cell r="G82">
            <v>153000</v>
          </cell>
        </row>
        <row r="84">
          <cell r="G84">
            <v>90000.000000000029</v>
          </cell>
          <cell r="H84">
            <v>0</v>
          </cell>
          <cell r="I84">
            <v>0</v>
          </cell>
        </row>
        <row r="86">
          <cell r="G86">
            <v>0</v>
          </cell>
          <cell r="H86">
            <v>0</v>
          </cell>
          <cell r="I86">
            <v>0</v>
          </cell>
        </row>
        <row r="88">
          <cell r="G88">
            <v>3506359.7315199999</v>
          </cell>
          <cell r="H88">
            <v>3506359.7315199999</v>
          </cell>
          <cell r="I88">
            <v>3506359.7315199999</v>
          </cell>
        </row>
        <row r="92">
          <cell r="G92">
            <v>1470410.4100000001</v>
          </cell>
          <cell r="H92">
            <v>1572109.0000000002</v>
          </cell>
          <cell r="I92">
            <v>1624458.5000000002</v>
          </cell>
        </row>
        <row r="94">
          <cell r="G94">
            <v>0</v>
          </cell>
        </row>
        <row r="97">
          <cell r="G97">
            <v>40541316</v>
          </cell>
          <cell r="H97">
            <v>44019052</v>
          </cell>
          <cell r="I97">
            <v>45484838</v>
          </cell>
        </row>
        <row r="102">
          <cell r="G102">
            <v>1979999.5139376419</v>
          </cell>
        </row>
        <row r="104">
          <cell r="G104">
            <v>14894939.094736842</v>
          </cell>
          <cell r="H104">
            <v>18659130</v>
          </cell>
          <cell r="I104">
            <v>18987478</v>
          </cell>
        </row>
        <row r="107">
          <cell r="H107">
            <v>0</v>
          </cell>
          <cell r="I107">
            <v>0</v>
          </cell>
        </row>
        <row r="110">
          <cell r="G110">
            <v>200000</v>
          </cell>
          <cell r="H110">
            <v>200000</v>
          </cell>
          <cell r="I110">
            <v>200000</v>
          </cell>
        </row>
        <row r="112">
          <cell r="G112">
            <v>0</v>
          </cell>
          <cell r="H112">
            <v>0</v>
          </cell>
          <cell r="I112">
            <v>0</v>
          </cell>
        </row>
        <row r="115">
          <cell r="G115">
            <v>90000.000000000029</v>
          </cell>
          <cell r="H115">
            <v>0</v>
          </cell>
          <cell r="I115">
            <v>0</v>
          </cell>
        </row>
        <row r="117">
          <cell r="G117">
            <v>991448</v>
          </cell>
        </row>
        <row r="118">
          <cell r="G118">
            <v>1045221</v>
          </cell>
          <cell r="H118">
            <v>1045221</v>
          </cell>
          <cell r="I118">
            <v>1045221</v>
          </cell>
        </row>
        <row r="120">
          <cell r="G120">
            <v>0</v>
          </cell>
          <cell r="H120">
            <v>0</v>
          </cell>
          <cell r="I120">
            <v>0</v>
          </cell>
        </row>
        <row r="122">
          <cell r="G122">
            <v>2360632.75</v>
          </cell>
          <cell r="H122">
            <v>2360632.75</v>
          </cell>
          <cell r="I122">
            <v>2360632.75</v>
          </cell>
        </row>
        <row r="126">
          <cell r="G126">
            <v>4950000.0000000009</v>
          </cell>
          <cell r="H126">
            <v>0</v>
          </cell>
          <cell r="I126">
            <v>0</v>
          </cell>
        </row>
        <row r="128">
          <cell r="G128">
            <v>23585318.256888889</v>
          </cell>
          <cell r="H128">
            <v>0</v>
          </cell>
          <cell r="I128">
            <v>0</v>
          </cell>
        </row>
        <row r="130">
          <cell r="G130">
            <v>8802144</v>
          </cell>
          <cell r="H130">
            <v>0</v>
          </cell>
          <cell r="I130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</row>
        <row r="134">
          <cell r="G134">
            <v>1890000.0000000002</v>
          </cell>
          <cell r="H134">
            <v>0</v>
          </cell>
          <cell r="I134">
            <v>0</v>
          </cell>
        </row>
        <row r="136">
          <cell r="G136">
            <v>11422424.97277</v>
          </cell>
          <cell r="H136">
            <v>12107034</v>
          </cell>
          <cell r="I136">
            <v>12107034</v>
          </cell>
        </row>
        <row r="142">
          <cell r="G142">
            <v>246751934.63634598</v>
          </cell>
          <cell r="H142">
            <v>235659054.50234598</v>
          </cell>
          <cell r="I142">
            <v>227018041.50234598</v>
          </cell>
        </row>
        <row r="155">
          <cell r="G155">
            <v>663865062.46835387</v>
          </cell>
          <cell r="H155">
            <v>662050623.28877819</v>
          </cell>
          <cell r="I155">
            <v>717031804.7687782</v>
          </cell>
        </row>
        <row r="176">
          <cell r="G176">
            <v>8861239.0943999998</v>
          </cell>
          <cell r="H176">
            <v>8861239.0943999998</v>
          </cell>
          <cell r="I176">
            <v>8861239.0943999998</v>
          </cell>
        </row>
        <row r="178">
          <cell r="G178">
            <v>247099.45</v>
          </cell>
          <cell r="H178">
            <v>52416</v>
          </cell>
          <cell r="I178">
            <v>52416</v>
          </cell>
        </row>
        <row r="180">
          <cell r="G180">
            <v>11964121.39765</v>
          </cell>
          <cell r="H180">
            <v>10575896.597650001</v>
          </cell>
          <cell r="I180">
            <v>10575896.597650001</v>
          </cell>
        </row>
        <row r="197">
          <cell r="G197">
            <v>41319189.369049996</v>
          </cell>
        </row>
        <row r="198">
          <cell r="H198">
            <v>15921629.772849999</v>
          </cell>
          <cell r="I198">
            <v>15921629.772849999</v>
          </cell>
        </row>
        <row r="204">
          <cell r="H204">
            <v>0</v>
          </cell>
          <cell r="I204">
            <v>0</v>
          </cell>
        </row>
        <row r="206">
          <cell r="H206">
            <v>0</v>
          </cell>
          <cell r="I206">
            <v>0</v>
          </cell>
        </row>
        <row r="211">
          <cell r="H211">
            <v>15293564.265000001</v>
          </cell>
          <cell r="I211">
            <v>15293564.265000001</v>
          </cell>
        </row>
        <row r="218">
          <cell r="H218">
            <v>0</v>
          </cell>
          <cell r="I218">
            <v>0</v>
          </cell>
        </row>
        <row r="220">
          <cell r="H220">
            <v>204758.41</v>
          </cell>
          <cell r="I220">
            <v>211632.94</v>
          </cell>
        </row>
        <row r="222">
          <cell r="H222">
            <v>3729453.7071999996</v>
          </cell>
          <cell r="I222">
            <v>3729453.7071999996</v>
          </cell>
        </row>
        <row r="229">
          <cell r="G229">
            <v>2750000</v>
          </cell>
          <cell r="H229">
            <v>2750000</v>
          </cell>
          <cell r="I229">
            <v>2750000</v>
          </cell>
        </row>
        <row r="231">
          <cell r="G231">
            <v>12000</v>
          </cell>
          <cell r="H231">
            <v>12000</v>
          </cell>
          <cell r="I231">
            <v>12000</v>
          </cell>
        </row>
        <row r="233">
          <cell r="G233">
            <v>1830000</v>
          </cell>
          <cell r="H233">
            <v>1830000</v>
          </cell>
          <cell r="I233">
            <v>1830000</v>
          </cell>
        </row>
        <row r="236">
          <cell r="G236">
            <v>2051000</v>
          </cell>
          <cell r="H236">
            <v>2123000</v>
          </cell>
          <cell r="I236">
            <v>2207000</v>
          </cell>
        </row>
        <row r="238">
          <cell r="G238">
            <v>1505400.41</v>
          </cell>
          <cell r="H238">
            <v>1505400</v>
          </cell>
          <cell r="I238">
            <v>1505400</v>
          </cell>
        </row>
        <row r="240">
          <cell r="G240">
            <v>786999.64249999996</v>
          </cell>
          <cell r="H240">
            <v>825999.64249999996</v>
          </cell>
          <cell r="I240">
            <v>855999.64249999996</v>
          </cell>
        </row>
        <row r="244">
          <cell r="G244">
            <v>0</v>
          </cell>
          <cell r="H244">
            <v>0</v>
          </cell>
          <cell r="I244">
            <v>0</v>
          </cell>
        </row>
        <row r="247">
          <cell r="G247">
            <v>7722695.0156000014</v>
          </cell>
          <cell r="H247">
            <v>7722695.0156000014</v>
          </cell>
          <cell r="I247">
            <v>7722695.0156000014</v>
          </cell>
        </row>
        <row r="252">
          <cell r="G252">
            <v>0</v>
          </cell>
        </row>
        <row r="254">
          <cell r="G254">
            <v>72143560.724999994</v>
          </cell>
          <cell r="H254">
            <v>64333132.725000001</v>
          </cell>
          <cell r="I254">
            <v>69752209.724999994</v>
          </cell>
        </row>
        <row r="279">
          <cell r="G279">
            <v>2727666.8587199999</v>
          </cell>
          <cell r="H279">
            <v>2727666.8587199999</v>
          </cell>
          <cell r="I279">
            <v>2727666.8587199999</v>
          </cell>
        </row>
        <row r="289">
          <cell r="G289">
            <v>2721909</v>
          </cell>
          <cell r="H289">
            <v>2256313.88</v>
          </cell>
          <cell r="I289">
            <v>2256313.88</v>
          </cell>
        </row>
        <row r="293">
          <cell r="G293">
            <v>5340342.0285999998</v>
          </cell>
          <cell r="H293">
            <v>4890992.9485999998</v>
          </cell>
          <cell r="I293">
            <v>4890992.9485999998</v>
          </cell>
        </row>
        <row r="302">
          <cell r="G302">
            <v>3500</v>
          </cell>
          <cell r="H302">
            <v>0</v>
          </cell>
          <cell r="I302">
            <v>0</v>
          </cell>
        </row>
        <row r="304">
          <cell r="G304">
            <v>115348999.99999996</v>
          </cell>
          <cell r="H304">
            <v>84943000</v>
          </cell>
          <cell r="I304">
            <v>84943000</v>
          </cell>
        </row>
        <row r="306">
          <cell r="G306">
            <v>0</v>
          </cell>
          <cell r="H306">
            <v>0</v>
          </cell>
          <cell r="I306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</row>
        <row r="312">
          <cell r="G312">
            <v>1372594448.4106033</v>
          </cell>
        </row>
        <row r="316">
          <cell r="G316">
            <v>1372594448.9100001</v>
          </cell>
        </row>
      </sheetData>
      <sheetData sheetId="5"/>
      <sheetData sheetId="6">
        <row r="6">
          <cell r="DH6">
            <v>0</v>
          </cell>
          <cell r="DI6">
            <v>0</v>
          </cell>
        </row>
        <row r="7">
          <cell r="DH7">
            <v>0</v>
          </cell>
        </row>
        <row r="8">
          <cell r="DH8">
            <v>0</v>
          </cell>
        </row>
        <row r="9">
          <cell r="DH9">
            <v>11419424.97277</v>
          </cell>
        </row>
        <row r="10">
          <cell r="A10">
            <v>1</v>
          </cell>
          <cell r="DH10">
            <v>11419424.97277</v>
          </cell>
        </row>
        <row r="13">
          <cell r="B13" t="str">
            <v>на составление проектно-сметной документации</v>
          </cell>
          <cell r="DI13">
            <v>991448</v>
          </cell>
        </row>
        <row r="14">
          <cell r="DI14">
            <v>0</v>
          </cell>
        </row>
        <row r="15">
          <cell r="DI15">
            <v>0</v>
          </cell>
        </row>
        <row r="16">
          <cell r="DI16">
            <v>0</v>
          </cell>
        </row>
        <row r="17">
          <cell r="DI17">
            <v>0</v>
          </cell>
        </row>
        <row r="18">
          <cell r="B18" t="str">
            <v>Иные субсидии</v>
          </cell>
          <cell r="DI18">
            <v>991448</v>
          </cell>
        </row>
        <row r="19">
          <cell r="B19" t="str">
            <v>Водоснабжение общественные краны и водоотведение</v>
          </cell>
          <cell r="DH19">
            <v>624019</v>
          </cell>
          <cell r="DI19">
            <v>0</v>
          </cell>
        </row>
        <row r="20">
          <cell r="B20" t="str">
            <v>Водоотведение</v>
          </cell>
          <cell r="DH20">
            <v>221202</v>
          </cell>
        </row>
        <row r="21">
          <cell r="DH21">
            <v>0</v>
          </cell>
        </row>
        <row r="22">
          <cell r="B22" t="str">
            <v>Обслуживание сетей ливневой канализации  с.Ботлих</v>
          </cell>
          <cell r="DH22">
            <v>200000</v>
          </cell>
        </row>
        <row r="23">
          <cell r="DI23">
            <v>0</v>
          </cell>
        </row>
        <row r="24">
          <cell r="DI24">
            <v>0</v>
          </cell>
        </row>
        <row r="25">
          <cell r="DI25">
            <v>0</v>
          </cell>
        </row>
        <row r="26">
          <cell r="DI26">
            <v>0</v>
          </cell>
        </row>
        <row r="27">
          <cell r="DI27">
            <v>0</v>
          </cell>
        </row>
        <row r="28">
          <cell r="DI28">
            <v>0</v>
          </cell>
        </row>
        <row r="29">
          <cell r="B29" t="str">
            <v>Иные субсидии</v>
          </cell>
          <cell r="DH29">
            <v>1045221</v>
          </cell>
        </row>
        <row r="30">
          <cell r="DI30">
            <v>0</v>
          </cell>
        </row>
        <row r="31">
          <cell r="DI31">
            <v>0</v>
          </cell>
        </row>
        <row r="32">
          <cell r="B32" t="str">
            <v>ИТОГО</v>
          </cell>
        </row>
        <row r="33">
          <cell r="B33" t="str">
            <v>Уборка улиц</v>
          </cell>
          <cell r="DH33">
            <v>4621020</v>
          </cell>
          <cell r="DI33">
            <v>0</v>
          </cell>
        </row>
        <row r="34">
          <cell r="B34" t="str">
            <v>Уличное освещение</v>
          </cell>
          <cell r="DH34">
            <v>1433604</v>
          </cell>
        </row>
        <row r="35">
          <cell r="B35" t="str">
            <v>Оплата электроэнергии</v>
          </cell>
          <cell r="DH35">
            <v>2747520</v>
          </cell>
        </row>
        <row r="36">
          <cell r="DH36">
            <v>0</v>
          </cell>
        </row>
        <row r="37">
          <cell r="B37" t="str">
            <v>ИТОГО</v>
          </cell>
          <cell r="DH37">
            <v>8802144</v>
          </cell>
        </row>
        <row r="38">
          <cell r="DI38">
            <v>0</v>
          </cell>
        </row>
        <row r="40">
          <cell r="B40" t="str">
            <v>Иные субсидии</v>
          </cell>
          <cell r="DI40">
            <v>0</v>
          </cell>
        </row>
        <row r="41">
          <cell r="B41" t="str">
            <v>Благоустройство общественной площадки по программе КГС с.Ботлих</v>
          </cell>
          <cell r="DI41">
            <v>11573191.362444444</v>
          </cell>
        </row>
        <row r="42">
          <cell r="B42" t="str">
            <v>Благоустройство общественной площадки по программе КГС с.Ансалта</v>
          </cell>
          <cell r="DI42">
            <v>5113171.8944444442</v>
          </cell>
        </row>
        <row r="43">
          <cell r="B43" t="str">
            <v>Благоустройство общественной площадки по программе КГС с.Анди</v>
          </cell>
          <cell r="DI43">
            <v>6898955</v>
          </cell>
        </row>
        <row r="44">
          <cell r="B44" t="str">
            <v>На составление ПСД и дизайнерское оформление</v>
          </cell>
          <cell r="DI44">
            <v>0</v>
          </cell>
        </row>
        <row r="45">
          <cell r="B45" t="str">
            <v>ИТОГО-Комфортная городская среда</v>
          </cell>
          <cell r="DI45">
            <v>23585318.256888889</v>
          </cell>
        </row>
        <row r="46">
          <cell r="B46" t="str">
            <v>Софинансирование проекта местных инициатив (райбюджет) Водоснабжение с.Ботлих Ботлихского района</v>
          </cell>
          <cell r="DI46">
            <v>2030000</v>
          </cell>
        </row>
        <row r="47">
          <cell r="B47" t="str">
            <v>На ремонт водопровода в местности "Тимпоч" с.Ботлих</v>
          </cell>
          <cell r="DI47">
            <v>120632.75</v>
          </cell>
        </row>
        <row r="48">
          <cell r="B48" t="str">
            <v>На составление ПСД и дизайнерское оформление</v>
          </cell>
          <cell r="DI48">
            <v>210000</v>
          </cell>
        </row>
        <row r="49">
          <cell r="B49" t="str">
            <v>Итого проект местных инициавтив (райбюджет)</v>
          </cell>
          <cell r="DI49">
            <v>2360632.75</v>
          </cell>
        </row>
        <row r="50">
          <cell r="B50" t="str">
            <v>Программа "Мой Дагестан - Мои дороги</v>
          </cell>
          <cell r="DI50">
            <v>14894939.094736842</v>
          </cell>
        </row>
        <row r="51">
          <cell r="DI51">
            <v>0</v>
          </cell>
        </row>
        <row r="52">
          <cell r="DI52">
            <v>0</v>
          </cell>
        </row>
        <row r="53">
          <cell r="DI53">
            <v>0</v>
          </cell>
        </row>
        <row r="54">
          <cell r="DI54">
            <v>0</v>
          </cell>
        </row>
        <row r="55">
          <cell r="B55" t="str">
            <v>Итого по программе</v>
          </cell>
          <cell r="DI55">
            <v>14894939.094736842</v>
          </cell>
        </row>
        <row r="56">
          <cell r="B56" t="str">
            <v>Акцизы</v>
          </cell>
          <cell r="CF56">
            <v>40541316</v>
          </cell>
          <cell r="DI56">
            <v>40541316</v>
          </cell>
        </row>
        <row r="57">
          <cell r="DI57">
            <v>0</v>
          </cell>
        </row>
        <row r="58">
          <cell r="DI58">
            <v>0</v>
          </cell>
        </row>
        <row r="59">
          <cell r="DI59">
            <v>0</v>
          </cell>
        </row>
        <row r="60">
          <cell r="DI60">
            <v>0</v>
          </cell>
        </row>
        <row r="61">
          <cell r="DI61">
            <v>0</v>
          </cell>
        </row>
        <row r="62">
          <cell r="DI62">
            <v>0</v>
          </cell>
        </row>
        <row r="63">
          <cell r="DI63">
            <v>0</v>
          </cell>
        </row>
        <row r="64">
          <cell r="B64" t="str">
            <v>ИТОГО Акцизы</v>
          </cell>
          <cell r="DI64">
            <v>40541316</v>
          </cell>
        </row>
        <row r="65">
          <cell r="B65" t="str">
            <v xml:space="preserve">Расходы на ремонт дорог за счет дотации </v>
          </cell>
          <cell r="DI65">
            <v>0</v>
          </cell>
        </row>
        <row r="66">
          <cell r="B66" t="str">
            <v>Отлов и содержание бездомных животных</v>
          </cell>
          <cell r="DI66">
            <v>200000</v>
          </cell>
        </row>
        <row r="67">
          <cell r="B67" t="str">
            <v>Итого</v>
          </cell>
          <cell r="DI67">
            <v>200000</v>
          </cell>
        </row>
        <row r="68">
          <cell r="B68" t="str">
            <v>ВСЕГО по ЖКХ</v>
          </cell>
          <cell r="CL68">
            <v>3000</v>
          </cell>
        </row>
      </sheetData>
      <sheetData sheetId="7"/>
      <sheetData sheetId="8">
        <row r="60">
          <cell r="D60">
            <v>1372594448.4106033</v>
          </cell>
        </row>
      </sheetData>
      <sheetData sheetId="9">
        <row r="23">
          <cell r="B23">
            <v>867024.75300000003</v>
          </cell>
        </row>
      </sheetData>
      <sheetData sheetId="10">
        <row r="87">
          <cell r="J87">
            <v>48000</v>
          </cell>
        </row>
        <row r="152">
          <cell r="J152">
            <v>48000</v>
          </cell>
        </row>
        <row r="197">
          <cell r="J197">
            <v>50900</v>
          </cell>
        </row>
        <row r="269">
          <cell r="J269">
            <v>258000</v>
          </cell>
        </row>
      </sheetData>
      <sheetData sheetId="11"/>
      <sheetData sheetId="12"/>
      <sheetData sheetId="13">
        <row r="17">
          <cell r="H17">
            <v>1572109.0000000002</v>
          </cell>
          <cell r="I17">
            <v>1624458.5000000002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V7">
            <v>556576.50216807763</v>
          </cell>
        </row>
        <row r="8">
          <cell r="V8">
            <v>1398781.7468511255</v>
          </cell>
        </row>
        <row r="9">
          <cell r="V9">
            <v>1035102.2093743548</v>
          </cell>
        </row>
        <row r="10">
          <cell r="V10">
            <v>178215.98182944459</v>
          </cell>
        </row>
        <row r="11">
          <cell r="V11">
            <v>0</v>
          </cell>
        </row>
        <row r="12">
          <cell r="V12">
            <v>701713.81375180674</v>
          </cell>
        </row>
        <row r="13">
          <cell r="V13">
            <v>669192.64918438985</v>
          </cell>
        </row>
        <row r="14">
          <cell r="V14">
            <v>262027.6688003304</v>
          </cell>
        </row>
        <row r="15">
          <cell r="V15">
            <v>385979.76460871362</v>
          </cell>
        </row>
        <row r="16">
          <cell r="V16">
            <v>166880.03303737353</v>
          </cell>
        </row>
        <row r="17">
          <cell r="V17">
            <v>77121.618831302912</v>
          </cell>
        </row>
        <row r="18">
          <cell r="V18">
            <v>385050.58847821603</v>
          </cell>
        </row>
        <row r="19">
          <cell r="V19">
            <v>789799.71092298173</v>
          </cell>
        </row>
        <row r="20">
          <cell r="V20">
            <v>640388.18913896347</v>
          </cell>
        </row>
        <row r="21">
          <cell r="V21">
            <v>218913.89634524056</v>
          </cell>
        </row>
        <row r="22">
          <cell r="V22">
            <v>161676.64670658685</v>
          </cell>
        </row>
        <row r="23">
          <cell r="V23">
            <v>711191.41028288251</v>
          </cell>
        </row>
        <row r="24">
          <cell r="V24">
            <v>259983.48131323562</v>
          </cell>
        </row>
        <row r="25">
          <cell r="V25">
            <v>165021.68077637829</v>
          </cell>
        </row>
        <row r="26">
          <cell r="V26">
            <v>236382.40759859592</v>
          </cell>
        </row>
        <row r="35">
          <cell r="D35">
            <v>115349000</v>
          </cell>
        </row>
      </sheetData>
      <sheetData sheetId="23">
        <row r="30">
          <cell r="C30">
            <v>5076400</v>
          </cell>
          <cell r="D30">
            <v>5560600</v>
          </cell>
        </row>
      </sheetData>
      <sheetData sheetId="24"/>
      <sheetData sheetId="25"/>
      <sheetData sheetId="26">
        <row r="43">
          <cell r="D43">
            <v>963438.18181818223</v>
          </cell>
          <cell r="E43">
            <v>963438.18181818223</v>
          </cell>
        </row>
      </sheetData>
      <sheetData sheetId="27"/>
      <sheetData sheetId="28"/>
      <sheetData sheetId="29"/>
      <sheetData sheetId="30">
        <row r="9">
          <cell r="B9" t="str">
            <v>МКОУ "Алакский лицей"</v>
          </cell>
          <cell r="BG9">
            <v>20</v>
          </cell>
          <cell r="BX9">
            <v>11235604.65129099</v>
          </cell>
          <cell r="CD9">
            <v>1277600.94</v>
          </cell>
          <cell r="CJ9">
            <v>1888022.4000000001</v>
          </cell>
          <cell r="CO9">
            <v>952479</v>
          </cell>
          <cell r="DF9">
            <v>4006184.4000000004</v>
          </cell>
          <cell r="DZ9">
            <v>784105.02</v>
          </cell>
          <cell r="EB9">
            <v>533809.58400000003</v>
          </cell>
          <cell r="ED9">
            <v>547480.4800000001</v>
          </cell>
          <cell r="EE9">
            <v>2652553.2016570466</v>
          </cell>
          <cell r="EJ9">
            <v>0</v>
          </cell>
          <cell r="ET9">
            <v>50238.369999999995</v>
          </cell>
          <cell r="EZ9">
            <v>1204101.8043788443</v>
          </cell>
          <cell r="FF9">
            <v>363638.74492241099</v>
          </cell>
          <cell r="GP9">
            <v>18000</v>
          </cell>
          <cell r="HA9">
            <v>21409.737373737382</v>
          </cell>
          <cell r="HS9">
            <v>1552603.8116570464</v>
          </cell>
        </row>
        <row r="10">
          <cell r="B10" t="str">
            <v>МКОУ "Андийская СОШ №1"</v>
          </cell>
          <cell r="BG10">
            <v>20</v>
          </cell>
          <cell r="BX10">
            <v>12469047.103461964</v>
          </cell>
          <cell r="CD10">
            <v>1434973.68</v>
          </cell>
          <cell r="CJ10">
            <v>1954052.4000000001</v>
          </cell>
          <cell r="CO10">
            <v>1261313.1000000001</v>
          </cell>
          <cell r="DF10">
            <v>4992144.4800000004</v>
          </cell>
          <cell r="DZ10">
            <v>902243.89800000004</v>
          </cell>
          <cell r="EB10">
            <v>613881.02159999986</v>
          </cell>
          <cell r="ED10">
            <v>579617.67999999993</v>
          </cell>
          <cell r="EE10">
            <v>3289603.3391025737</v>
          </cell>
          <cell r="EJ10">
            <v>0</v>
          </cell>
          <cell r="ET10">
            <v>68352.94</v>
          </cell>
          <cell r="EZ10">
            <v>1214938.7206182538</v>
          </cell>
          <cell r="FF10">
            <v>366911.49362671265</v>
          </cell>
          <cell r="GP10">
            <v>25000</v>
          </cell>
          <cell r="HA10">
            <v>42819.474747474764</v>
          </cell>
          <cell r="HS10">
            <v>1711531.4491025736</v>
          </cell>
        </row>
        <row r="11">
          <cell r="B11" t="str">
            <v>МКОУ "Андийская СОШ №2"</v>
          </cell>
          <cell r="BG11">
            <v>21</v>
          </cell>
          <cell r="BX11">
            <v>13894850.99990995</v>
          </cell>
          <cell r="CD11">
            <v>1433379.78</v>
          </cell>
          <cell r="CJ11">
            <v>2591143.2000000002</v>
          </cell>
          <cell r="CO11">
            <v>1128543.2999999998</v>
          </cell>
          <cell r="DF11">
            <v>4660219.9800000004</v>
          </cell>
          <cell r="DZ11">
            <v>1075672.6775999998</v>
          </cell>
          <cell r="EB11">
            <v>613881.02159999986</v>
          </cell>
          <cell r="ED11">
            <v>600183.67999999993</v>
          </cell>
          <cell r="EE11">
            <v>3862305.3423257875</v>
          </cell>
          <cell r="EJ11">
            <v>0</v>
          </cell>
          <cell r="ET11">
            <v>34590.97</v>
          </cell>
          <cell r="EZ11">
            <v>1275685.6566491665</v>
          </cell>
          <cell r="FF11">
            <v>385257.06830804824</v>
          </cell>
          <cell r="FW11">
            <v>47000</v>
          </cell>
          <cell r="GP11">
            <v>25000</v>
          </cell>
          <cell r="HA11">
            <v>42819.474747474764</v>
          </cell>
          <cell r="HS11">
            <v>2533142.9523257874</v>
          </cell>
        </row>
        <row r="12">
          <cell r="B12" t="str">
            <v>МКОУ "Ансалтинская СОШ"</v>
          </cell>
          <cell r="BG12">
            <v>28</v>
          </cell>
          <cell r="BX12">
            <v>15322432.637505688</v>
          </cell>
          <cell r="CD12">
            <v>1360963.7999999998</v>
          </cell>
          <cell r="CJ12">
            <v>1947048</v>
          </cell>
          <cell r="CO12">
            <v>1154520</v>
          </cell>
          <cell r="DF12">
            <v>4802803.2</v>
          </cell>
          <cell r="DZ12">
            <v>1109379.5279999999</v>
          </cell>
          <cell r="EB12">
            <v>533809.58400000003</v>
          </cell>
          <cell r="ED12">
            <v>739173.68</v>
          </cell>
          <cell r="EE12">
            <v>4750197.9390174141</v>
          </cell>
          <cell r="EJ12">
            <v>0</v>
          </cell>
          <cell r="ET12">
            <v>87819.714999999997</v>
          </cell>
          <cell r="EZ12">
            <v>1685742.5261303822</v>
          </cell>
          <cell r="FF12">
            <v>509094.24289137544</v>
          </cell>
          <cell r="GP12">
            <v>25000</v>
          </cell>
          <cell r="HA12">
            <v>64229.212121212149</v>
          </cell>
          <cell r="HS12">
            <v>2555071.9490174139</v>
          </cell>
        </row>
        <row r="13">
          <cell r="B13" t="str">
            <v>МКОУ "Ботлихская СОШ №1"</v>
          </cell>
          <cell r="BG13">
            <v>36</v>
          </cell>
          <cell r="BX13">
            <v>21867637.811394531</v>
          </cell>
          <cell r="CD13">
            <v>1635177.5999999999</v>
          </cell>
          <cell r="CJ13">
            <v>2544084</v>
          </cell>
          <cell r="CO13">
            <v>1269972</v>
          </cell>
          <cell r="DF13">
            <v>4756622.4000000004</v>
          </cell>
          <cell r="DZ13">
            <v>1114329.5279999999</v>
          </cell>
          <cell r="EB13">
            <v>533809.58400000003</v>
          </cell>
          <cell r="ED13">
            <v>856874.47999999986</v>
          </cell>
          <cell r="EE13">
            <v>4883680.5808379287</v>
          </cell>
          <cell r="EJ13">
            <v>0</v>
          </cell>
          <cell r="ET13">
            <v>47626</v>
          </cell>
          <cell r="EZ13">
            <v>2167383.2478819201</v>
          </cell>
          <cell r="FF13">
            <v>654549.74086033984</v>
          </cell>
          <cell r="GP13">
            <v>25000</v>
          </cell>
          <cell r="HA13">
            <v>149868.16161616167</v>
          </cell>
          <cell r="HS13">
            <v>2897378.238837929</v>
          </cell>
        </row>
        <row r="14">
          <cell r="B14" t="str">
            <v>МКОУ "Ботлихская СОШ №2"</v>
          </cell>
          <cell r="BG14">
            <v>35</v>
          </cell>
          <cell r="BX14">
            <v>22150617.287954193</v>
          </cell>
          <cell r="CD14">
            <v>1575151.2000000002</v>
          </cell>
          <cell r="CJ14">
            <v>2409036</v>
          </cell>
          <cell r="CO14">
            <v>1154520</v>
          </cell>
          <cell r="DF14">
            <v>3636738</v>
          </cell>
          <cell r="DZ14">
            <v>1120067.0279999999</v>
          </cell>
          <cell r="EB14">
            <v>533809.58400000003</v>
          </cell>
          <cell r="ED14">
            <v>837302.88</v>
          </cell>
          <cell r="EE14">
            <v>5164956.1402051477</v>
          </cell>
          <cell r="EJ14">
            <v>0</v>
          </cell>
          <cell r="ET14">
            <v>55515.34</v>
          </cell>
          <cell r="EZ14">
            <v>2107178.1576629779</v>
          </cell>
          <cell r="FF14">
            <v>636367.8036142193</v>
          </cell>
          <cell r="GP14">
            <v>25000</v>
          </cell>
          <cell r="HA14">
            <v>299736.32323232334</v>
          </cell>
          <cell r="HS14">
            <v>3423062.8982051476</v>
          </cell>
        </row>
        <row r="15">
          <cell r="B15" t="str">
            <v>МКОУ "Ботлихская СОШ №3"</v>
          </cell>
          <cell r="BG15">
            <v>11</v>
          </cell>
          <cell r="BX15">
            <v>5754643.4984197216</v>
          </cell>
          <cell r="CD15">
            <v>597378.60000000009</v>
          </cell>
          <cell r="CJ15">
            <v>1253328</v>
          </cell>
          <cell r="CO15">
            <v>923616</v>
          </cell>
          <cell r="DF15">
            <v>2320585.2000000002</v>
          </cell>
          <cell r="DZ15">
            <v>619049.01600000006</v>
          </cell>
          <cell r="EB15">
            <v>533809.58400000003</v>
          </cell>
          <cell r="ED15">
            <v>345933.68</v>
          </cell>
          <cell r="EE15">
            <v>1827505.6431877338</v>
          </cell>
          <cell r="EJ15">
            <v>0</v>
          </cell>
          <cell r="ET15">
            <v>51681.354999999996</v>
          </cell>
          <cell r="EZ15">
            <v>662255.99240836443</v>
          </cell>
          <cell r="FF15">
            <v>200001.30970732606</v>
          </cell>
          <cell r="GP15">
            <v>25000</v>
          </cell>
          <cell r="HS15">
            <v>867990.94918773393</v>
          </cell>
        </row>
        <row r="16">
          <cell r="B16" t="str">
            <v>МКОУ "Гагатлинская СОШ"</v>
          </cell>
          <cell r="BG16">
            <v>20</v>
          </cell>
          <cell r="BX16">
            <v>11766578.706186658</v>
          </cell>
          <cell r="CD16">
            <v>897206.31</v>
          </cell>
          <cell r="CJ16">
            <v>1984274.4000000001</v>
          </cell>
          <cell r="CO16">
            <v>995773.5</v>
          </cell>
          <cell r="DF16">
            <v>4089309.84</v>
          </cell>
          <cell r="DZ16">
            <v>895606.39800000004</v>
          </cell>
          <cell r="EB16">
            <v>613881.02159999986</v>
          </cell>
          <cell r="ED16">
            <v>526643.28</v>
          </cell>
          <cell r="EE16">
            <v>3127470.571010082</v>
          </cell>
          <cell r="EJ16">
            <v>0</v>
          </cell>
          <cell r="ET16">
            <v>44950.255000000005</v>
          </cell>
          <cell r="EZ16">
            <v>1214938.7206182538</v>
          </cell>
          <cell r="FF16">
            <v>366911.49362671265</v>
          </cell>
          <cell r="GP16">
            <v>18000</v>
          </cell>
          <cell r="HS16">
            <v>1479252.1810100819</v>
          </cell>
        </row>
        <row r="17">
          <cell r="B17" t="str">
            <v>МКОУ "Годоберинская СОШ"</v>
          </cell>
          <cell r="BG17">
            <v>25</v>
          </cell>
          <cell r="BX17">
            <v>15265898.473647149</v>
          </cell>
          <cell r="CD17">
            <v>1524130.65</v>
          </cell>
          <cell r="CJ17">
            <v>2346248.4000000004</v>
          </cell>
          <cell r="CO17">
            <v>929388.60000000009</v>
          </cell>
          <cell r="DF17">
            <v>5802040.2599999998</v>
          </cell>
          <cell r="DZ17">
            <v>1082422.6775999998</v>
          </cell>
          <cell r="EB17">
            <v>0</v>
          </cell>
          <cell r="ED17">
            <v>668869.6</v>
          </cell>
          <cell r="EE17">
            <v>4029603.6042866418</v>
          </cell>
          <cell r="EJ17">
            <v>0</v>
          </cell>
          <cell r="ET17">
            <v>70187.289999999994</v>
          </cell>
          <cell r="EZ17">
            <v>1518673.4007728172</v>
          </cell>
          <cell r="FF17">
            <v>458639.36703339079</v>
          </cell>
          <cell r="GP17">
            <v>25000</v>
          </cell>
          <cell r="GV17">
            <v>40000</v>
          </cell>
          <cell r="HA17">
            <v>85638.949494949527</v>
          </cell>
          <cell r="HS17">
            <v>2041612.5142866417</v>
          </cell>
        </row>
        <row r="18">
          <cell r="B18" t="str">
            <v>МКОУ "Зиловская СОШ"</v>
          </cell>
          <cell r="BG18">
            <v>11</v>
          </cell>
          <cell r="BX18">
            <v>6329630.2089354321</v>
          </cell>
          <cell r="CD18">
            <v>325068.66000000003</v>
          </cell>
          <cell r="CJ18">
            <v>1448310</v>
          </cell>
          <cell r="CO18">
            <v>531079.19999999995</v>
          </cell>
          <cell r="DF18">
            <v>3478568.76</v>
          </cell>
          <cell r="DZ18">
            <v>527036.33880000003</v>
          </cell>
          <cell r="EB18">
            <v>613881.02159999986</v>
          </cell>
          <cell r="ED18">
            <v>326452.47999999998</v>
          </cell>
          <cell r="EE18">
            <v>951534.80300274957</v>
          </cell>
          <cell r="EJ18">
            <v>0</v>
          </cell>
          <cell r="ET18">
            <v>55403.544999999998</v>
          </cell>
          <cell r="EZ18">
            <v>668216.29634003958</v>
          </cell>
          <cell r="FF18">
            <v>201801.32149469192</v>
          </cell>
          <cell r="GP18">
            <v>18000</v>
          </cell>
          <cell r="GV18">
            <v>40000</v>
          </cell>
          <cell r="HS18">
            <v>403432.41300274956</v>
          </cell>
        </row>
        <row r="19">
          <cell r="B19" t="str">
            <v>МКОУ "Миарсинская СОШ"</v>
          </cell>
          <cell r="BG19">
            <v>18</v>
          </cell>
          <cell r="BX19">
            <v>10045328.697343532</v>
          </cell>
          <cell r="CD19">
            <v>696729.60000000009</v>
          </cell>
          <cell r="CJ19">
            <v>1304004</v>
          </cell>
          <cell r="CO19">
            <v>692712</v>
          </cell>
          <cell r="DF19">
            <v>3717554.4000000004</v>
          </cell>
          <cell r="DZ19">
            <v>628499.01600000006</v>
          </cell>
          <cell r="EB19">
            <v>533809.58400000003</v>
          </cell>
          <cell r="ED19">
            <v>481714.48</v>
          </cell>
          <cell r="EE19">
            <v>2028976.4043718013</v>
          </cell>
          <cell r="EJ19">
            <v>0</v>
          </cell>
          <cell r="ET19">
            <v>66712.239999999991</v>
          </cell>
          <cell r="EZ19">
            <v>1083691.62394096</v>
          </cell>
          <cell r="FF19">
            <v>327274.87043016992</v>
          </cell>
          <cell r="GP19">
            <v>25000</v>
          </cell>
          <cell r="HA19">
            <v>21409.737373737382</v>
          </cell>
          <cell r="HS19">
            <v>1198072.0143718014</v>
          </cell>
        </row>
        <row r="20">
          <cell r="B20" t="str">
            <v>МКОУ "Мунинская СОШ"</v>
          </cell>
          <cell r="BG20">
            <v>25</v>
          </cell>
          <cell r="BX20">
            <v>15865432.478362598</v>
          </cell>
          <cell r="CD20">
            <v>1234346.3999999999</v>
          </cell>
          <cell r="CJ20">
            <v>1668756</v>
          </cell>
          <cell r="CO20">
            <v>981342</v>
          </cell>
          <cell r="DF20">
            <v>3417379.2</v>
          </cell>
          <cell r="DZ20">
            <v>943873.52399999998</v>
          </cell>
          <cell r="EB20">
            <v>533809.58400000003</v>
          </cell>
          <cell r="ED20">
            <v>652389.67999999993</v>
          </cell>
          <cell r="EE20">
            <v>3579285.1290857042</v>
          </cell>
          <cell r="EJ20">
            <v>0</v>
          </cell>
          <cell r="ET20">
            <v>46089.055</v>
          </cell>
          <cell r="EZ20">
            <v>1505127.2554735555</v>
          </cell>
          <cell r="FF20">
            <v>454548.43115301378</v>
          </cell>
          <cell r="GP20">
            <v>25000</v>
          </cell>
          <cell r="GV20">
            <v>40000</v>
          </cell>
          <cell r="HA20">
            <v>128458.4242424243</v>
          </cell>
          <cell r="HS20">
            <v>2237521.7390857041</v>
          </cell>
        </row>
        <row r="21">
          <cell r="B21" t="str">
            <v>МКОУ "Ортаколинская СОШ"</v>
          </cell>
          <cell r="BG21">
            <v>11</v>
          </cell>
          <cell r="BX21">
            <v>6716357.1872996585</v>
          </cell>
          <cell r="CD21">
            <v>447804</v>
          </cell>
          <cell r="CJ21">
            <v>831048</v>
          </cell>
          <cell r="CO21">
            <v>519534</v>
          </cell>
          <cell r="DF21">
            <v>2909390.4</v>
          </cell>
          <cell r="DZ21">
            <v>463668.01199999999</v>
          </cell>
          <cell r="EB21">
            <v>533809.58400000003</v>
          </cell>
          <cell r="ED21">
            <v>343402.48</v>
          </cell>
          <cell r="EE21">
            <v>1250044.1349981548</v>
          </cell>
          <cell r="EJ21">
            <v>0</v>
          </cell>
          <cell r="ET21">
            <v>40352.979999999996</v>
          </cell>
          <cell r="EZ21">
            <v>662255.99240836443</v>
          </cell>
          <cell r="FF21">
            <v>200001.30970732606</v>
          </cell>
          <cell r="GP21">
            <v>15000</v>
          </cell>
          <cell r="HS21">
            <v>646332.34499815491</v>
          </cell>
        </row>
        <row r="22">
          <cell r="B22" t="str">
            <v>МКОУ "Рахатинская СОШ"</v>
          </cell>
          <cell r="BG22">
            <v>25</v>
          </cell>
          <cell r="BX22">
            <v>13698221.979198283</v>
          </cell>
          <cell r="CD22">
            <v>1471012.2000000002</v>
          </cell>
          <cell r="CJ22">
            <v>2135832</v>
          </cell>
          <cell r="CO22">
            <v>1154520</v>
          </cell>
          <cell r="DF22">
            <v>4975981.2</v>
          </cell>
          <cell r="DZ22">
            <v>1103754.5279999999</v>
          </cell>
          <cell r="EB22">
            <v>533809.58400000003</v>
          </cell>
          <cell r="ED22">
            <v>706403.67999999993</v>
          </cell>
          <cell r="EE22">
            <v>5091901.8411987321</v>
          </cell>
          <cell r="EJ22">
            <v>0</v>
          </cell>
          <cell r="ET22">
            <v>51569.14</v>
          </cell>
          <cell r="EZ22">
            <v>1505127.2554735555</v>
          </cell>
          <cell r="FF22">
            <v>454548.43115301378</v>
          </cell>
          <cell r="GP22">
            <v>20000</v>
          </cell>
          <cell r="HA22">
            <v>64229.212121212149</v>
          </cell>
          <cell r="HS22">
            <v>2481720.6011987324</v>
          </cell>
        </row>
        <row r="23">
          <cell r="B23" t="str">
            <v>МКОУ "Рикванинская СОШ"</v>
          </cell>
          <cell r="BG23">
            <v>9</v>
          </cell>
          <cell r="BX23">
            <v>5035654.7665360468</v>
          </cell>
          <cell r="CD23">
            <v>334443.69000000006</v>
          </cell>
          <cell r="CJ23">
            <v>935998.79999999993</v>
          </cell>
          <cell r="CO23">
            <v>531079.19999999995</v>
          </cell>
          <cell r="DF23">
            <v>2190701.7000000002</v>
          </cell>
          <cell r="DZ23">
            <v>525798.83880000003</v>
          </cell>
          <cell r="EB23">
            <v>0</v>
          </cell>
          <cell r="ED23">
            <v>240916</v>
          </cell>
          <cell r="EE23">
            <v>908324.8522756435</v>
          </cell>
          <cell r="EJ23">
            <v>0</v>
          </cell>
          <cell r="ET23">
            <v>46681.84</v>
          </cell>
          <cell r="EZ23">
            <v>546722.42427821434</v>
          </cell>
          <cell r="FF23">
            <v>165110.17213202073</v>
          </cell>
          <cell r="FW23">
            <v>24500</v>
          </cell>
          <cell r="GP23">
            <v>15000</v>
          </cell>
          <cell r="HS23">
            <v>427882.86227564339</v>
          </cell>
        </row>
        <row r="24">
          <cell r="B24" t="str">
            <v>МКОУ "Тандовская СОШ"</v>
          </cell>
          <cell r="BG24">
            <v>11</v>
          </cell>
          <cell r="BX24">
            <v>5489722.0308529856</v>
          </cell>
          <cell r="CD24">
            <v>293491.80000000005</v>
          </cell>
          <cell r="CJ24">
            <v>811404</v>
          </cell>
          <cell r="CO24">
            <v>461808</v>
          </cell>
          <cell r="DF24">
            <v>2262859.2000000002</v>
          </cell>
          <cell r="DZ24">
            <v>460293.01199999999</v>
          </cell>
          <cell r="EB24">
            <v>533809.58400000003</v>
          </cell>
          <cell r="ED24">
            <v>299603.67999999993</v>
          </cell>
          <cell r="EE24">
            <v>1169246.6108214313</v>
          </cell>
          <cell r="EJ24">
            <v>0</v>
          </cell>
          <cell r="ET24">
            <v>33311.08</v>
          </cell>
          <cell r="EZ24">
            <v>662255.99240836443</v>
          </cell>
          <cell r="FF24">
            <v>200001.30970732606</v>
          </cell>
          <cell r="GP24">
            <v>18000</v>
          </cell>
          <cell r="GV24">
            <v>15000</v>
          </cell>
          <cell r="HS24">
            <v>476783.76082143123</v>
          </cell>
        </row>
        <row r="25">
          <cell r="B25" t="str">
            <v>МКОУ "Тлохская СОШ"</v>
          </cell>
          <cell r="BG25">
            <v>28</v>
          </cell>
          <cell r="BX25">
            <v>15612695.178465806</v>
          </cell>
          <cell r="CD25">
            <v>1356301.7999999998</v>
          </cell>
          <cell r="CJ25">
            <v>2091060</v>
          </cell>
          <cell r="CO25">
            <v>923616</v>
          </cell>
          <cell r="DF25">
            <v>4467992.4000000004</v>
          </cell>
          <cell r="DZ25">
            <v>951073.52399999998</v>
          </cell>
          <cell r="EB25">
            <v>533809.58400000003</v>
          </cell>
          <cell r="ED25">
            <v>717432.48</v>
          </cell>
          <cell r="EE25">
            <v>4456689.5670841951</v>
          </cell>
          <cell r="EJ25">
            <v>0</v>
          </cell>
          <cell r="ET25">
            <v>56232.729999999996</v>
          </cell>
          <cell r="EZ25">
            <v>1685742.5261303822</v>
          </cell>
          <cell r="FF25">
            <v>509094.24289137544</v>
          </cell>
          <cell r="GP25">
            <v>20000</v>
          </cell>
          <cell r="HS25">
            <v>2683131.1770841954</v>
          </cell>
        </row>
        <row r="26">
          <cell r="B26" t="str">
            <v>МКОУ "Хелетуринская СОШ"</v>
          </cell>
          <cell r="BG26">
            <v>10</v>
          </cell>
          <cell r="BX26">
            <v>5939465.5992321866</v>
          </cell>
          <cell r="CD26">
            <v>264732.30000000005</v>
          </cell>
          <cell r="CJ26">
            <v>644142.60000000009</v>
          </cell>
          <cell r="CO26">
            <v>265539.59999999998</v>
          </cell>
          <cell r="DF26">
            <v>2615565.0599999996</v>
          </cell>
          <cell r="DZ26">
            <v>522648.83879999997</v>
          </cell>
          <cell r="EB26">
            <v>0</v>
          </cell>
          <cell r="ED26">
            <v>256871.6</v>
          </cell>
          <cell r="EE26">
            <v>532382.08563736349</v>
          </cell>
          <cell r="EJ26">
            <v>0</v>
          </cell>
          <cell r="ET26">
            <v>28266.744999999999</v>
          </cell>
          <cell r="EZ26">
            <v>607469.3603091269</v>
          </cell>
          <cell r="FF26">
            <v>183455.74681335632</v>
          </cell>
          <cell r="GP26">
            <v>18000</v>
          </cell>
          <cell r="GV26">
            <v>30000</v>
          </cell>
          <cell r="HS26">
            <v>146702.69563736345</v>
          </cell>
        </row>
        <row r="27">
          <cell r="B27" t="str">
            <v>МКОУ "Чанковская СОШ"</v>
          </cell>
          <cell r="BG27">
            <v>11</v>
          </cell>
          <cell r="BX27">
            <v>5450128.4743259307</v>
          </cell>
          <cell r="CD27">
            <v>334443.69000000006</v>
          </cell>
          <cell r="CJ27">
            <v>929361</v>
          </cell>
          <cell r="CO27">
            <v>132769.79999999999</v>
          </cell>
          <cell r="DF27">
            <v>1938439.08</v>
          </cell>
          <cell r="DZ27">
            <v>351470.05919999996</v>
          </cell>
          <cell r="EB27">
            <v>0</v>
          </cell>
          <cell r="ED27">
            <v>258950.80000000002</v>
          </cell>
          <cell r="EE27">
            <v>1064953.3873931849</v>
          </cell>
          <cell r="EJ27">
            <v>0</v>
          </cell>
          <cell r="ET27">
            <v>33830.815000000002</v>
          </cell>
          <cell r="EZ27">
            <v>668216.29634003958</v>
          </cell>
          <cell r="FF27">
            <v>201801.32149469192</v>
          </cell>
          <cell r="GP27">
            <v>15000</v>
          </cell>
          <cell r="HS27">
            <v>250540.69739318482</v>
          </cell>
        </row>
        <row r="28">
          <cell r="B28" t="str">
            <v>МКОУ "Шодродинская СОШ"</v>
          </cell>
          <cell r="BG28">
            <v>11</v>
          </cell>
          <cell r="BX28">
            <v>5601711.6170107462</v>
          </cell>
          <cell r="CD28">
            <v>290820.59999999998</v>
          </cell>
          <cell r="CJ28">
            <v>828960</v>
          </cell>
          <cell r="CO28">
            <v>461808</v>
          </cell>
          <cell r="DF28">
            <v>2666941.2000000002</v>
          </cell>
          <cell r="DZ28">
            <v>460068.01199999999</v>
          </cell>
          <cell r="EB28">
            <v>0</v>
          </cell>
          <cell r="ED28">
            <v>298952.8</v>
          </cell>
          <cell r="EE28">
            <v>881677.95372985571</v>
          </cell>
          <cell r="EJ28">
            <v>0</v>
          </cell>
          <cell r="ET28">
            <v>32499.384999999998</v>
          </cell>
          <cell r="EZ28">
            <v>662255.99240836443</v>
          </cell>
          <cell r="FF28">
            <v>200001.30970732606</v>
          </cell>
          <cell r="GP28">
            <v>20000</v>
          </cell>
          <cell r="HS28">
            <v>378981.96372985566</v>
          </cell>
        </row>
        <row r="29">
          <cell r="B29" t="str">
            <v>ИТОГО по СОШ</v>
          </cell>
          <cell r="FH29">
            <v>0</v>
          </cell>
        </row>
        <row r="30">
          <cell r="B30" t="str">
            <v>МКОУ "Ашалинская ООШ"</v>
          </cell>
          <cell r="BG30">
            <v>9</v>
          </cell>
          <cell r="BX30">
            <v>5065313.3003668226</v>
          </cell>
          <cell r="CD30">
            <v>334443.69000000006</v>
          </cell>
          <cell r="CJ30">
            <v>919645.79999999993</v>
          </cell>
          <cell r="CO30">
            <v>398309.39999999997</v>
          </cell>
          <cell r="DF30">
            <v>2004823.98</v>
          </cell>
          <cell r="DZ30">
            <v>524561.33880000003</v>
          </cell>
          <cell r="EB30">
            <v>0</v>
          </cell>
          <cell r="ED30">
            <v>230700.79999999999</v>
          </cell>
          <cell r="EE30">
            <v>581228.15663828002</v>
          </cell>
          <cell r="EJ30">
            <v>0</v>
          </cell>
          <cell r="ET30">
            <v>42794.14</v>
          </cell>
          <cell r="EZ30">
            <v>546722.42427821434</v>
          </cell>
          <cell r="FF30">
            <v>165110.17213202073</v>
          </cell>
          <cell r="GP30">
            <v>15000</v>
          </cell>
          <cell r="HS30">
            <v>281180.16663828003</v>
          </cell>
        </row>
        <row r="31">
          <cell r="B31" t="str">
            <v>МКОУ "Кванхидатлинская ООШ"</v>
          </cell>
          <cell r="BG31">
            <v>9</v>
          </cell>
          <cell r="BX31">
            <v>4492777.7650358928</v>
          </cell>
          <cell r="CD31">
            <v>244780.19999999998</v>
          </cell>
          <cell r="CJ31">
            <v>609396</v>
          </cell>
          <cell r="CO31">
            <v>115452</v>
          </cell>
          <cell r="DF31">
            <v>1743325.2000000002</v>
          </cell>
          <cell r="DZ31">
            <v>305137.00800000003</v>
          </cell>
          <cell r="EB31">
            <v>533809.58400000003</v>
          </cell>
          <cell r="ED31">
            <v>231803.68</v>
          </cell>
          <cell r="EE31">
            <v>513626.20881959819</v>
          </cell>
          <cell r="EJ31">
            <v>0</v>
          </cell>
          <cell r="ET31">
            <v>30246.91</v>
          </cell>
          <cell r="EZ31">
            <v>541845.81197048002</v>
          </cell>
          <cell r="FF31">
            <v>163637.43521508496</v>
          </cell>
          <cell r="GP31">
            <v>15000</v>
          </cell>
          <cell r="HA31">
            <v>21409.737373737382</v>
          </cell>
          <cell r="HS31">
            <v>207828.81881959824</v>
          </cell>
        </row>
        <row r="32">
          <cell r="B32" t="str">
            <v>МКОУ "Тасутинская ООШ"</v>
          </cell>
          <cell r="BG32">
            <v>9</v>
          </cell>
          <cell r="BX32">
            <v>5115207.9034602838</v>
          </cell>
          <cell r="CD32">
            <v>268267.86</v>
          </cell>
          <cell r="CJ32">
            <v>725962.8</v>
          </cell>
          <cell r="CO32">
            <v>132769.79999999999</v>
          </cell>
          <cell r="DF32">
            <v>1540129.6799999997</v>
          </cell>
          <cell r="DZ32">
            <v>176241.27959999998</v>
          </cell>
          <cell r="EB32">
            <v>0</v>
          </cell>
          <cell r="ED32">
            <v>204936.80000000002</v>
          </cell>
          <cell r="EE32">
            <v>481672.86933283054</v>
          </cell>
          <cell r="EJ32">
            <v>0</v>
          </cell>
          <cell r="ET32">
            <v>28807</v>
          </cell>
          <cell r="EZ32">
            <v>546722.42427821434</v>
          </cell>
          <cell r="FF32">
            <v>165110.17213202073</v>
          </cell>
          <cell r="FW32">
            <v>4000</v>
          </cell>
          <cell r="GP32">
            <v>15000</v>
          </cell>
          <cell r="HS32">
            <v>148536.47933283052</v>
          </cell>
        </row>
        <row r="33">
          <cell r="B33" t="str">
            <v>МКОУ "Н-Инхеловская ООШ"</v>
          </cell>
          <cell r="BG33">
            <v>11</v>
          </cell>
          <cell r="BX33">
            <v>5240750.9731632834</v>
          </cell>
          <cell r="CD33">
            <v>581628.60000000009</v>
          </cell>
          <cell r="CJ33">
            <v>956244</v>
          </cell>
          <cell r="CO33">
            <v>692712</v>
          </cell>
          <cell r="DF33">
            <v>2089681.2000000002</v>
          </cell>
          <cell r="DZ33">
            <v>618936.51600000006</v>
          </cell>
          <cell r="EB33">
            <v>0</v>
          </cell>
          <cell r="ED33">
            <v>308896.8</v>
          </cell>
          <cell r="EE33">
            <v>1337580.563824181</v>
          </cell>
          <cell r="EJ33">
            <v>0</v>
          </cell>
          <cell r="ET33">
            <v>37079.229999999996</v>
          </cell>
          <cell r="EZ33">
            <v>662255.99240836443</v>
          </cell>
          <cell r="FF33">
            <v>200001.30970732606</v>
          </cell>
          <cell r="GP33">
            <v>18000</v>
          </cell>
          <cell r="HA33">
            <v>21409.737373737382</v>
          </cell>
          <cell r="HS33">
            <v>880216.17382418085</v>
          </cell>
        </row>
        <row r="34">
          <cell r="B34" t="str">
            <v>МКОУ "Кижанинская ООШ"</v>
          </cell>
          <cell r="BG34">
            <v>9</v>
          </cell>
          <cell r="BX34">
            <v>4924779.4642895544</v>
          </cell>
          <cell r="CD34">
            <v>334443.69000000006</v>
          </cell>
          <cell r="CJ34">
            <v>924958.79999999993</v>
          </cell>
          <cell r="CO34">
            <v>398309.39999999997</v>
          </cell>
          <cell r="DF34">
            <v>1792392.2999999998</v>
          </cell>
          <cell r="DZ34">
            <v>526811.33880000003</v>
          </cell>
          <cell r="EB34">
            <v>0</v>
          </cell>
          <cell r="ED34">
            <v>224192</v>
          </cell>
          <cell r="EE34">
            <v>940824.90009432519</v>
          </cell>
          <cell r="EJ34">
            <v>0</v>
          </cell>
          <cell r="ET34">
            <v>32290</v>
          </cell>
          <cell r="EZ34">
            <v>546722.42427821434</v>
          </cell>
          <cell r="FF34">
            <v>165110.17213202073</v>
          </cell>
          <cell r="FW34">
            <v>16000</v>
          </cell>
          <cell r="GP34">
            <v>15000</v>
          </cell>
          <cell r="HS34">
            <v>501234.21009432519</v>
          </cell>
        </row>
        <row r="35">
          <cell r="B35" t="str">
            <v>ИТОГО по ООШ</v>
          </cell>
          <cell r="FH35">
            <v>0</v>
          </cell>
        </row>
        <row r="36">
          <cell r="B36" t="str">
            <v>МКОУ "Белединская НОШ"</v>
          </cell>
          <cell r="BG36">
            <v>0</v>
          </cell>
          <cell r="BX36">
            <v>0</v>
          </cell>
          <cell r="CD36">
            <v>0</v>
          </cell>
          <cell r="CJ36">
            <v>0</v>
          </cell>
          <cell r="CO36">
            <v>0</v>
          </cell>
          <cell r="DF36">
            <v>0</v>
          </cell>
          <cell r="DZ36">
            <v>0</v>
          </cell>
          <cell r="EB36">
            <v>0</v>
          </cell>
          <cell r="ED36">
            <v>0</v>
          </cell>
          <cell r="EE36">
            <v>0</v>
          </cell>
          <cell r="EJ36">
            <v>0</v>
          </cell>
          <cell r="ET36">
            <v>0</v>
          </cell>
          <cell r="EZ36">
            <v>0</v>
          </cell>
          <cell r="FF36">
            <v>0</v>
          </cell>
          <cell r="HS36">
            <v>0</v>
          </cell>
        </row>
        <row r="37">
          <cell r="B37" t="str">
            <v>МКОУ "В-Алакская НОШ"</v>
          </cell>
          <cell r="BG37">
            <v>0</v>
          </cell>
          <cell r="BX37">
            <v>0</v>
          </cell>
          <cell r="CD37">
            <v>0</v>
          </cell>
          <cell r="CJ37">
            <v>0</v>
          </cell>
          <cell r="CO37">
            <v>0</v>
          </cell>
          <cell r="DF37">
            <v>0</v>
          </cell>
          <cell r="DZ37">
            <v>0</v>
          </cell>
          <cell r="EB37">
            <v>0</v>
          </cell>
          <cell r="ED37">
            <v>0</v>
          </cell>
          <cell r="EE37">
            <v>0</v>
          </cell>
          <cell r="EJ37">
            <v>0</v>
          </cell>
          <cell r="ET37">
            <v>0</v>
          </cell>
          <cell r="EZ37">
            <v>0</v>
          </cell>
          <cell r="FF37">
            <v>0</v>
          </cell>
          <cell r="HS37">
            <v>0</v>
          </cell>
        </row>
        <row r="38">
          <cell r="B38" t="str">
            <v>МКОУ "Гунховская НОШ"</v>
          </cell>
          <cell r="BG38">
            <v>2</v>
          </cell>
          <cell r="BX38">
            <v>893829.04374729097</v>
          </cell>
          <cell r="CD38">
            <v>0</v>
          </cell>
          <cell r="CJ38">
            <v>27241.199999999997</v>
          </cell>
          <cell r="CO38">
            <v>0</v>
          </cell>
          <cell r="DF38">
            <v>212431.68</v>
          </cell>
          <cell r="DZ38">
            <v>172866.27959999998</v>
          </cell>
          <cell r="EB38">
            <v>0</v>
          </cell>
          <cell r="ED38">
            <v>33176.799999999996</v>
          </cell>
          <cell r="EE38">
            <v>281792.77245512872</v>
          </cell>
          <cell r="EJ38">
            <v>0</v>
          </cell>
          <cell r="ET38">
            <v>15000</v>
          </cell>
          <cell r="EZ38">
            <v>121493.87206182539</v>
          </cell>
          <cell r="FF38">
            <v>36691.149362671269</v>
          </cell>
          <cell r="GV38">
            <v>50000</v>
          </cell>
          <cell r="HS38">
            <v>85576.572455128684</v>
          </cell>
        </row>
        <row r="39">
          <cell r="B39" t="str">
            <v>МКОУ "Зибирхалинская НОШ"</v>
          </cell>
          <cell r="BG39">
            <v>2</v>
          </cell>
          <cell r="BX39">
            <v>893829.04374729097</v>
          </cell>
          <cell r="CD39">
            <v>0</v>
          </cell>
          <cell r="CJ39">
            <v>29421.600000000002</v>
          </cell>
          <cell r="CO39">
            <v>0</v>
          </cell>
          <cell r="DF39">
            <v>212431.68</v>
          </cell>
          <cell r="DZ39">
            <v>86433.13979999999</v>
          </cell>
          <cell r="EB39">
            <v>0</v>
          </cell>
          <cell r="ED39">
            <v>31142.799999999999</v>
          </cell>
          <cell r="EE39">
            <v>113205.89854578782</v>
          </cell>
          <cell r="EJ39">
            <v>0</v>
          </cell>
          <cell r="ET39">
            <v>15197.295</v>
          </cell>
          <cell r="EZ39">
            <v>121493.87206182539</v>
          </cell>
          <cell r="FF39">
            <v>36691.149362671269</v>
          </cell>
          <cell r="HS39">
            <v>48900.898545787823</v>
          </cell>
        </row>
        <row r="40">
          <cell r="B40" t="str">
            <v>МКОУ "Н-Алакская НОШ"</v>
          </cell>
          <cell r="BG40">
            <v>0</v>
          </cell>
          <cell r="BX40">
            <v>0</v>
          </cell>
          <cell r="CD40">
            <v>0</v>
          </cell>
          <cell r="CJ40">
            <v>0</v>
          </cell>
          <cell r="CO40">
            <v>0</v>
          </cell>
          <cell r="DF40">
            <v>0</v>
          </cell>
          <cell r="DZ40">
            <v>0</v>
          </cell>
          <cell r="EB40">
            <v>0</v>
          </cell>
          <cell r="ED40">
            <v>0</v>
          </cell>
          <cell r="EE40">
            <v>0</v>
          </cell>
          <cell r="EJ40">
            <v>0</v>
          </cell>
          <cell r="ET40">
            <v>0</v>
          </cell>
          <cell r="EZ40">
            <v>0</v>
          </cell>
          <cell r="FF40">
            <v>0</v>
          </cell>
          <cell r="HS40">
            <v>0</v>
          </cell>
        </row>
        <row r="41">
          <cell r="B41" t="str">
            <v>МКОУ "Шивортинская НОШ"</v>
          </cell>
          <cell r="BG41">
            <v>1</v>
          </cell>
          <cell r="BX41">
            <v>542974.89885553601</v>
          </cell>
          <cell r="CD41">
            <v>0</v>
          </cell>
          <cell r="CJ41">
            <v>27241.199999999997</v>
          </cell>
          <cell r="CO41">
            <v>0</v>
          </cell>
          <cell r="DF41">
            <v>212431.68</v>
          </cell>
          <cell r="DZ41">
            <v>86433.13979999999</v>
          </cell>
          <cell r="EB41">
            <v>0</v>
          </cell>
          <cell r="ED41">
            <v>19842.800000000003</v>
          </cell>
          <cell r="EE41">
            <v>143130.22463644698</v>
          </cell>
          <cell r="EJ41">
            <v>0</v>
          </cell>
          <cell r="ET41">
            <v>15000</v>
          </cell>
          <cell r="EZ41">
            <v>60746.936030912693</v>
          </cell>
          <cell r="FF41">
            <v>18345.574681335635</v>
          </cell>
          <cell r="HS41">
            <v>12225.224636446956</v>
          </cell>
        </row>
        <row r="42">
          <cell r="B42" t="str">
            <v>ИТОГО по НОШ</v>
          </cell>
        </row>
        <row r="43">
          <cell r="DU43">
            <v>26365860</v>
          </cell>
          <cell r="EW43">
            <v>411675221.38</v>
          </cell>
          <cell r="EX43">
            <v>1443374</v>
          </cell>
          <cell r="EY43">
            <v>13427067.6</v>
          </cell>
          <cell r="EZ43">
            <v>26455983</v>
          </cell>
          <cell r="FA43">
            <v>6805867.1999999993</v>
          </cell>
          <cell r="FB43">
            <v>218812.5</v>
          </cell>
          <cell r="FC43">
            <v>124325916.85676001</v>
          </cell>
          <cell r="FD43">
            <v>435898.94799999997</v>
          </cell>
          <cell r="FE43">
            <v>4054974.4151999992</v>
          </cell>
          <cell r="FF43">
            <v>7989706.8659999976</v>
          </cell>
          <cell r="FG43">
            <v>2055371.8944000003</v>
          </cell>
          <cell r="FI43">
            <v>168000</v>
          </cell>
          <cell r="FJ43">
            <v>0</v>
          </cell>
          <cell r="FK43">
            <v>218812.5</v>
          </cell>
          <cell r="FL43">
            <v>62589.659999999996</v>
          </cell>
          <cell r="FM43">
            <v>29413.72</v>
          </cell>
          <cell r="FN43">
            <v>7527610</v>
          </cell>
          <cell r="FO43">
            <v>4939588.8</v>
          </cell>
          <cell r="FP43">
            <v>314800</v>
          </cell>
          <cell r="FQ43">
            <v>0</v>
          </cell>
          <cell r="FR43">
            <v>0</v>
          </cell>
          <cell r="FS43">
            <v>0</v>
          </cell>
          <cell r="FT43">
            <v>59363.928000000007</v>
          </cell>
          <cell r="FU43">
            <v>144000</v>
          </cell>
          <cell r="FV43">
            <v>288395</v>
          </cell>
          <cell r="FW43">
            <v>91500</v>
          </cell>
          <cell r="FX43">
            <v>0</v>
          </cell>
          <cell r="FY43">
            <v>218812.5</v>
          </cell>
          <cell r="FZ43">
            <v>140000</v>
          </cell>
          <cell r="GA43">
            <v>130277.40000000002</v>
          </cell>
          <cell r="GB43">
            <v>200000</v>
          </cell>
          <cell r="GC43">
            <v>0</v>
          </cell>
          <cell r="GD43">
            <v>194154</v>
          </cell>
          <cell r="GE43">
            <v>147889.74999999997</v>
          </cell>
          <cell r="GF43">
            <v>85550</v>
          </cell>
          <cell r="GG43">
            <v>0</v>
          </cell>
          <cell r="GH43">
            <v>12597.26</v>
          </cell>
          <cell r="GI43">
            <v>0</v>
          </cell>
          <cell r="GJ43">
            <v>34662</v>
          </cell>
          <cell r="GK43">
            <v>240000</v>
          </cell>
          <cell r="GL43">
            <v>11569862.080000002</v>
          </cell>
          <cell r="GM43">
            <v>4800000</v>
          </cell>
          <cell r="GN43">
            <v>0</v>
          </cell>
          <cell r="GO43">
            <v>0</v>
          </cell>
          <cell r="GP43">
            <v>498000</v>
          </cell>
          <cell r="GQ43">
            <v>0</v>
          </cell>
          <cell r="GR43">
            <v>168000</v>
          </cell>
          <cell r="GS43">
            <v>0</v>
          </cell>
          <cell r="GT43">
            <v>0</v>
          </cell>
          <cell r="GU43">
            <v>0</v>
          </cell>
          <cell r="GV43">
            <v>215000</v>
          </cell>
          <cell r="HA43">
            <v>963438.18181818223</v>
          </cell>
          <cell r="HC43">
            <v>0</v>
          </cell>
          <cell r="HD43">
            <v>368326.36500000005</v>
          </cell>
          <cell r="HE43">
            <v>180000</v>
          </cell>
          <cell r="HF43">
            <v>140000</v>
          </cell>
          <cell r="HG43">
            <v>250000</v>
          </cell>
          <cell r="HH43">
            <v>280000</v>
          </cell>
          <cell r="HI43">
            <v>0</v>
          </cell>
          <cell r="HJ43">
            <v>0</v>
          </cell>
          <cell r="HK43">
            <v>0</v>
          </cell>
          <cell r="HM43">
            <v>0</v>
          </cell>
          <cell r="HN43">
            <v>438000</v>
          </cell>
          <cell r="HP43">
            <v>0</v>
          </cell>
          <cell r="HQ43">
            <v>0</v>
          </cell>
          <cell r="HR43">
            <v>0</v>
          </cell>
          <cell r="HS43">
            <v>32558447.75757575</v>
          </cell>
          <cell r="HU43">
            <v>52945.45</v>
          </cell>
          <cell r="HV43">
            <v>1433100</v>
          </cell>
          <cell r="HW43">
            <v>106780</v>
          </cell>
          <cell r="HX43">
            <v>1061290</v>
          </cell>
          <cell r="HY43">
            <v>0</v>
          </cell>
          <cell r="HZ43">
            <v>0</v>
          </cell>
          <cell r="IA43">
            <v>2190000</v>
          </cell>
          <cell r="IB43">
            <v>1314000</v>
          </cell>
          <cell r="IC43">
            <v>250000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</row>
      </sheetData>
      <sheetData sheetId="31"/>
      <sheetData sheetId="32">
        <row r="5">
          <cell r="E5">
            <v>127</v>
          </cell>
        </row>
        <row r="6">
          <cell r="E6">
            <v>140</v>
          </cell>
        </row>
        <row r="7">
          <cell r="E7">
            <v>172</v>
          </cell>
        </row>
        <row r="8">
          <cell r="E8">
            <v>209</v>
          </cell>
        </row>
        <row r="9">
          <cell r="E9">
            <v>237</v>
          </cell>
        </row>
        <row r="10">
          <cell r="E10">
            <v>280</v>
          </cell>
        </row>
        <row r="11">
          <cell r="E11">
            <v>71</v>
          </cell>
        </row>
        <row r="12">
          <cell r="E12">
            <v>121</v>
          </cell>
        </row>
        <row r="13">
          <cell r="E13">
            <v>167</v>
          </cell>
        </row>
        <row r="14">
          <cell r="E14">
            <v>33</v>
          </cell>
        </row>
        <row r="15">
          <cell r="E15">
            <v>98</v>
          </cell>
        </row>
        <row r="16">
          <cell r="E16">
            <v>154</v>
          </cell>
        </row>
        <row r="17">
          <cell r="E17">
            <v>44</v>
          </cell>
        </row>
        <row r="18">
          <cell r="E18">
            <v>203</v>
          </cell>
        </row>
        <row r="19">
          <cell r="E19">
            <v>35</v>
          </cell>
        </row>
        <row r="20">
          <cell r="E20">
            <v>39</v>
          </cell>
        </row>
        <row r="21">
          <cell r="E21">
            <v>184</v>
          </cell>
        </row>
        <row r="22">
          <cell r="E22">
            <v>12</v>
          </cell>
        </row>
        <row r="23">
          <cell r="E23">
            <v>17</v>
          </cell>
        </row>
        <row r="24">
          <cell r="E24">
            <v>31</v>
          </cell>
        </row>
        <row r="25">
          <cell r="E25">
            <v>23</v>
          </cell>
        </row>
        <row r="26">
          <cell r="E26">
            <v>17</v>
          </cell>
        </row>
        <row r="27">
          <cell r="E27">
            <v>10</v>
          </cell>
        </row>
        <row r="28">
          <cell r="E28">
            <v>72</v>
          </cell>
        </row>
        <row r="29">
          <cell r="E29">
            <v>41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7</v>
          </cell>
        </row>
        <row r="33">
          <cell r="E33">
            <v>4</v>
          </cell>
        </row>
        <row r="34">
          <cell r="E34">
            <v>0</v>
          </cell>
        </row>
        <row r="35">
          <cell r="E35">
            <v>1</v>
          </cell>
        </row>
      </sheetData>
      <sheetData sheetId="33">
        <row r="7">
          <cell r="B7" t="str">
            <v>МКДОУ "Ромашка" с.Алак</v>
          </cell>
          <cell r="AX7">
            <v>43</v>
          </cell>
          <cell r="BH7">
            <v>416496</v>
          </cell>
          <cell r="BQ7">
            <v>2526855.3590101888</v>
          </cell>
          <cell r="BW7">
            <v>288630</v>
          </cell>
          <cell r="CB7">
            <v>1172992.32</v>
          </cell>
          <cell r="CN7">
            <v>1803822.048</v>
          </cell>
          <cell r="CQ7">
            <v>1110269.79</v>
          </cell>
          <cell r="CV7">
            <v>0</v>
          </cell>
          <cell r="DF7">
            <v>6767.6149999999998</v>
          </cell>
          <cell r="DL7">
            <v>3012</v>
          </cell>
          <cell r="DO7">
            <v>6000</v>
          </cell>
          <cell r="DR7">
            <v>861</v>
          </cell>
          <cell r="EF7">
            <v>11180</v>
          </cell>
          <cell r="ER7">
            <v>165648.95999999999</v>
          </cell>
          <cell r="EU7">
            <v>15000</v>
          </cell>
          <cell r="FF7">
            <v>51168.89</v>
          </cell>
          <cell r="FT7">
            <v>5160</v>
          </cell>
          <cell r="FU7">
            <v>52116</v>
          </cell>
          <cell r="GE7">
            <v>18000</v>
          </cell>
        </row>
        <row r="8">
          <cell r="B8" t="str">
            <v>МКДОУ "Светлячок" с.Анди</v>
          </cell>
          <cell r="AX8">
            <v>115</v>
          </cell>
          <cell r="BH8">
            <v>874368</v>
          </cell>
          <cell r="BQ8">
            <v>5667719.7678602617</v>
          </cell>
          <cell r="BW8">
            <v>796618.79999999993</v>
          </cell>
          <cell r="CB8">
            <v>2835962.9280000003</v>
          </cell>
          <cell r="CN8">
            <v>4598243.0373600004</v>
          </cell>
          <cell r="CQ8">
            <v>2255758.29</v>
          </cell>
          <cell r="CV8">
            <v>0</v>
          </cell>
          <cell r="DF8">
            <v>5000</v>
          </cell>
          <cell r="DL8">
            <v>8050</v>
          </cell>
          <cell r="DO8">
            <v>6000</v>
          </cell>
          <cell r="DR8">
            <v>2300</v>
          </cell>
          <cell r="ED8">
            <v>10800</v>
          </cell>
          <cell r="EF8">
            <v>29900</v>
          </cell>
          <cell r="ER8">
            <v>353671.92</v>
          </cell>
          <cell r="EU8">
            <v>15000</v>
          </cell>
          <cell r="FF8">
            <v>117441.45</v>
          </cell>
          <cell r="FT8">
            <v>13800</v>
          </cell>
          <cell r="FU8">
            <v>139380</v>
          </cell>
          <cell r="GE8">
            <v>36000</v>
          </cell>
        </row>
        <row r="9">
          <cell r="B9" t="str">
            <v>МКДОУ "Аист" с.Ансалта</v>
          </cell>
          <cell r="AX9">
            <v>146</v>
          </cell>
          <cell r="BH9">
            <v>831516</v>
          </cell>
          <cell r="BQ9">
            <v>6706086.5452692863</v>
          </cell>
          <cell r="BW9">
            <v>1154520</v>
          </cell>
          <cell r="CB9">
            <v>3288072.96</v>
          </cell>
          <cell r="CN9">
            <v>4563669.7814399991</v>
          </cell>
          <cell r="CQ9">
            <v>3027871.89</v>
          </cell>
          <cell r="CV9">
            <v>0</v>
          </cell>
          <cell r="DF9">
            <v>13899.23</v>
          </cell>
          <cell r="DL9">
            <v>10220</v>
          </cell>
          <cell r="DO9">
            <v>6000</v>
          </cell>
          <cell r="DR9">
            <v>2920</v>
          </cell>
          <cell r="EF9">
            <v>37960</v>
          </cell>
          <cell r="ER9">
            <v>450490.32</v>
          </cell>
          <cell r="EU9">
            <v>18000</v>
          </cell>
          <cell r="FF9">
            <v>149099.58000000002</v>
          </cell>
          <cell r="FT9">
            <v>17520</v>
          </cell>
          <cell r="FU9">
            <v>176952</v>
          </cell>
          <cell r="GE9">
            <v>42000</v>
          </cell>
        </row>
        <row r="10">
          <cell r="B10" t="str">
            <v>МКДОУ "Чебурашка" с.Ботлих</v>
          </cell>
          <cell r="AX10">
            <v>185</v>
          </cell>
          <cell r="BH10">
            <v>1350648</v>
          </cell>
          <cell r="BQ10">
            <v>7403394.6862882096</v>
          </cell>
          <cell r="BW10">
            <v>692712</v>
          </cell>
          <cell r="CB10">
            <v>3756808.0799999996</v>
          </cell>
          <cell r="CN10">
            <v>5651975.7504000003</v>
          </cell>
          <cell r="CQ10">
            <v>3838523.2059999998</v>
          </cell>
          <cell r="CV10">
            <v>0</v>
          </cell>
          <cell r="DF10">
            <v>12835.939999999999</v>
          </cell>
          <cell r="DL10">
            <v>12950</v>
          </cell>
          <cell r="DO10">
            <v>6000</v>
          </cell>
          <cell r="DR10">
            <v>3700</v>
          </cell>
          <cell r="EF10">
            <v>48100</v>
          </cell>
          <cell r="ER10">
            <v>506710.08</v>
          </cell>
          <cell r="EU10">
            <v>18000</v>
          </cell>
          <cell r="FF10">
            <v>188927.55000000002</v>
          </cell>
          <cell r="FT10">
            <v>22200</v>
          </cell>
          <cell r="FU10">
            <v>224220</v>
          </cell>
          <cell r="GE10">
            <v>48000</v>
          </cell>
        </row>
        <row r="11">
          <cell r="B11" t="str">
            <v>МКДОУ "Солнышко" с.Ботлих</v>
          </cell>
          <cell r="AX11">
            <v>180</v>
          </cell>
          <cell r="BH11">
            <v>1186692</v>
          </cell>
          <cell r="BQ11">
            <v>5984288.2320232894</v>
          </cell>
          <cell r="BW11">
            <v>923616</v>
          </cell>
          <cell r="CB11">
            <v>2812410.7199999997</v>
          </cell>
          <cell r="CN11">
            <v>5576816.4983999999</v>
          </cell>
          <cell r="CQ11">
            <v>5009231.9059999995</v>
          </cell>
          <cell r="CV11">
            <v>0</v>
          </cell>
          <cell r="DF11">
            <v>9309.636050000001</v>
          </cell>
          <cell r="DL11">
            <v>12600</v>
          </cell>
          <cell r="DO11">
            <v>6000</v>
          </cell>
          <cell r="DR11">
            <v>3600</v>
          </cell>
          <cell r="DX11">
            <v>1000000</v>
          </cell>
          <cell r="EF11">
            <v>46800</v>
          </cell>
          <cell r="ER11">
            <v>445690.08</v>
          </cell>
          <cell r="EU11">
            <v>18000</v>
          </cell>
          <cell r="FF11">
            <v>183821.4</v>
          </cell>
          <cell r="FT11">
            <v>21600</v>
          </cell>
          <cell r="FU11">
            <v>218160</v>
          </cell>
          <cell r="GE11">
            <v>48000</v>
          </cell>
        </row>
        <row r="12">
          <cell r="B12" t="str">
            <v>МКДОУ "Родничок" с.Ботлих</v>
          </cell>
          <cell r="AX12">
            <v>126</v>
          </cell>
          <cell r="BH12">
            <v>770712</v>
          </cell>
          <cell r="BQ12">
            <v>4969654.2411644831</v>
          </cell>
          <cell r="BW12">
            <v>1039068</v>
          </cell>
          <cell r="CB12">
            <v>2466054.7199999997</v>
          </cell>
          <cell r="CN12">
            <v>4374268.4664000003</v>
          </cell>
          <cell r="CQ12">
            <v>2999144.0559999999</v>
          </cell>
          <cell r="CV12">
            <v>0</v>
          </cell>
          <cell r="DF12">
            <v>25170.29</v>
          </cell>
          <cell r="DL12">
            <v>8820</v>
          </cell>
          <cell r="DO12">
            <v>6000</v>
          </cell>
          <cell r="DR12">
            <v>2520</v>
          </cell>
          <cell r="EF12">
            <v>32760</v>
          </cell>
          <cell r="ER12">
            <v>374988.24000000005</v>
          </cell>
          <cell r="EU12">
            <v>18000</v>
          </cell>
          <cell r="FF12">
            <v>128674.98</v>
          </cell>
          <cell r="FT12">
            <v>15120</v>
          </cell>
          <cell r="FU12">
            <v>152712</v>
          </cell>
          <cell r="GE12">
            <v>36000</v>
          </cell>
        </row>
        <row r="13">
          <cell r="B13" t="str">
            <v>МКДОУ "Золотой ключик" с.Ботлих</v>
          </cell>
          <cell r="AX13">
            <v>95</v>
          </cell>
          <cell r="BH13">
            <v>578472</v>
          </cell>
          <cell r="BQ13">
            <v>3171857.7825909751</v>
          </cell>
          <cell r="BW13">
            <v>1385424</v>
          </cell>
          <cell r="CB13">
            <v>1565529.12</v>
          </cell>
          <cell r="CN13">
            <v>2645605.6704000002</v>
          </cell>
          <cell r="CQ13">
            <v>2549725.8659999999</v>
          </cell>
          <cell r="CV13">
            <v>0</v>
          </cell>
          <cell r="DF13">
            <v>34418</v>
          </cell>
          <cell r="DL13">
            <v>6650</v>
          </cell>
          <cell r="DO13">
            <v>6000</v>
          </cell>
          <cell r="DR13">
            <v>1900</v>
          </cell>
          <cell r="EF13">
            <v>24700</v>
          </cell>
          <cell r="ER13">
            <v>263280.96000000002</v>
          </cell>
          <cell r="EU13">
            <v>18000</v>
          </cell>
          <cell r="FF13">
            <v>97016.85</v>
          </cell>
          <cell r="FT13">
            <v>11400</v>
          </cell>
          <cell r="FU13">
            <v>115140</v>
          </cell>
          <cell r="GE13">
            <v>24000</v>
          </cell>
        </row>
        <row r="14">
          <cell r="B14" t="str">
            <v>МКДОУ "Орленок" с.Гагатли</v>
          </cell>
          <cell r="AX14">
            <v>87</v>
          </cell>
          <cell r="BH14">
            <v>637822.19999999995</v>
          </cell>
          <cell r="BQ14">
            <v>3634501.035982532</v>
          </cell>
          <cell r="BW14">
            <v>796618.79999999993</v>
          </cell>
          <cell r="CB14">
            <v>1887986.5559999999</v>
          </cell>
          <cell r="CN14">
            <v>3647478.4995600004</v>
          </cell>
          <cell r="CQ14">
            <v>1847171.99</v>
          </cell>
          <cell r="CV14">
            <v>0</v>
          </cell>
          <cell r="DF14">
            <v>7805.8099999999995</v>
          </cell>
          <cell r="DL14">
            <v>6090</v>
          </cell>
          <cell r="DO14">
            <v>6000</v>
          </cell>
          <cell r="DR14">
            <v>1740</v>
          </cell>
          <cell r="ED14">
            <v>15500</v>
          </cell>
          <cell r="EF14">
            <v>22620</v>
          </cell>
          <cell r="ER14">
            <v>257911.19999999998</v>
          </cell>
          <cell r="EU14">
            <v>15000</v>
          </cell>
          <cell r="FF14">
            <v>88847.01</v>
          </cell>
          <cell r="FT14">
            <v>10440</v>
          </cell>
          <cell r="FU14">
            <v>105444</v>
          </cell>
          <cell r="GE14">
            <v>24000</v>
          </cell>
        </row>
        <row r="15">
          <cell r="B15" t="str">
            <v>МКДОУ "Улыбка" с.Муни</v>
          </cell>
          <cell r="AX15">
            <v>80</v>
          </cell>
          <cell r="BH15">
            <v>580272</v>
          </cell>
          <cell r="BQ15">
            <v>3343175.0011062589</v>
          </cell>
          <cell r="BW15">
            <v>577260</v>
          </cell>
          <cell r="CB15">
            <v>1644036.48</v>
          </cell>
          <cell r="CN15">
            <v>3322038.9384000003</v>
          </cell>
          <cell r="CQ15">
            <v>1605814.3900000001</v>
          </cell>
          <cell r="CV15">
            <v>0</v>
          </cell>
          <cell r="DF15">
            <v>8623.5499999999993</v>
          </cell>
          <cell r="DL15">
            <v>5600</v>
          </cell>
          <cell r="DO15">
            <v>6000</v>
          </cell>
          <cell r="DR15">
            <v>1600</v>
          </cell>
          <cell r="EF15">
            <v>20800</v>
          </cell>
          <cell r="ER15">
            <v>257829.84</v>
          </cell>
          <cell r="EU15">
            <v>15000</v>
          </cell>
          <cell r="FF15">
            <v>81698.399999999994</v>
          </cell>
          <cell r="FT15">
            <v>9600</v>
          </cell>
          <cell r="FU15">
            <v>96960</v>
          </cell>
          <cell r="GE15">
            <v>24000</v>
          </cell>
        </row>
        <row r="16">
          <cell r="BH16">
            <v>416496</v>
          </cell>
          <cell r="BQ16">
            <v>0</v>
          </cell>
          <cell r="BW16">
            <v>0</v>
          </cell>
          <cell r="CB16">
            <v>0</v>
          </cell>
          <cell r="DL16">
            <v>0</v>
          </cell>
          <cell r="DO16">
            <v>0</v>
          </cell>
          <cell r="DR16">
            <v>0</v>
          </cell>
          <cell r="EF16">
            <v>0</v>
          </cell>
          <cell r="ER16">
            <v>0</v>
          </cell>
          <cell r="FT16">
            <v>0</v>
          </cell>
          <cell r="FU16">
            <v>0</v>
          </cell>
          <cell r="GE16">
            <v>0</v>
          </cell>
        </row>
        <row r="17">
          <cell r="B17" t="str">
            <v>МКДОУ "Ласточка" с.Рахата</v>
          </cell>
          <cell r="AX17">
            <v>165</v>
          </cell>
          <cell r="BH17">
            <v>1197360</v>
          </cell>
          <cell r="BQ17">
            <v>7519108.6685298393</v>
          </cell>
          <cell r="BW17">
            <v>577260</v>
          </cell>
          <cell r="CB17">
            <v>3856096.8</v>
          </cell>
          <cell r="CN17">
            <v>5276179.4904000005</v>
          </cell>
          <cell r="CQ17">
            <v>3234071.79</v>
          </cell>
          <cell r="CV17">
            <v>0</v>
          </cell>
          <cell r="DF17">
            <v>10087.790000000001</v>
          </cell>
          <cell r="DL17">
            <v>11550</v>
          </cell>
          <cell r="DO17">
            <v>6000</v>
          </cell>
          <cell r="DR17">
            <v>3300</v>
          </cell>
          <cell r="EF17">
            <v>42900</v>
          </cell>
          <cell r="ER17">
            <v>502886.16000000003</v>
          </cell>
          <cell r="EU17">
            <v>18000</v>
          </cell>
          <cell r="FF17">
            <v>168502.95</v>
          </cell>
          <cell r="FT17">
            <v>19800</v>
          </cell>
          <cell r="FU17">
            <v>199980</v>
          </cell>
          <cell r="GE17">
            <v>48000</v>
          </cell>
        </row>
        <row r="18">
          <cell r="B18" t="str">
            <v>МКДОУ "Звездочка" с.Тандо</v>
          </cell>
          <cell r="AX18">
            <v>31</v>
          </cell>
          <cell r="BH18">
            <v>415500</v>
          </cell>
          <cell r="BQ18">
            <v>1601096.3041048034</v>
          </cell>
          <cell r="BW18">
            <v>404082</v>
          </cell>
          <cell r="CB18">
            <v>808164</v>
          </cell>
          <cell r="CN18">
            <v>2344968.6624000003</v>
          </cell>
          <cell r="CQ18">
            <v>783332.31</v>
          </cell>
          <cell r="CV18">
            <v>0</v>
          </cell>
          <cell r="DF18">
            <v>7867.835</v>
          </cell>
          <cell r="DL18">
            <v>2170</v>
          </cell>
          <cell r="DO18">
            <v>6000</v>
          </cell>
          <cell r="DR18">
            <v>620</v>
          </cell>
          <cell r="EF18">
            <v>8060</v>
          </cell>
          <cell r="ER18">
            <v>151655.04000000001</v>
          </cell>
          <cell r="EU18">
            <v>15000</v>
          </cell>
          <cell r="FF18">
            <v>31658.13</v>
          </cell>
          <cell r="FT18">
            <v>3720</v>
          </cell>
          <cell r="FU18">
            <v>37572</v>
          </cell>
          <cell r="GE18">
            <v>12000</v>
          </cell>
        </row>
        <row r="19">
          <cell r="B19" t="str">
            <v>МКДОУ "Радуга" с.Тлох</v>
          </cell>
          <cell r="AX19">
            <v>80</v>
          </cell>
          <cell r="BH19">
            <v>584784</v>
          </cell>
          <cell r="BQ19">
            <v>3231161.7825909751</v>
          </cell>
          <cell r="BW19">
            <v>461808</v>
          </cell>
          <cell r="CB19">
            <v>1565529.12</v>
          </cell>
          <cell r="CN19">
            <v>3171720.4344000001</v>
          </cell>
          <cell r="CQ19">
            <v>1567593.19</v>
          </cell>
          <cell r="CV19">
            <v>0</v>
          </cell>
          <cell r="DF19">
            <v>6595.835</v>
          </cell>
          <cell r="DL19">
            <v>5600</v>
          </cell>
          <cell r="DO19">
            <v>6000</v>
          </cell>
          <cell r="DR19">
            <v>1600</v>
          </cell>
          <cell r="EF19">
            <v>20800</v>
          </cell>
          <cell r="ER19">
            <v>244974.96</v>
          </cell>
          <cell r="EU19">
            <v>15000</v>
          </cell>
          <cell r="FF19">
            <v>81698.399999999994</v>
          </cell>
          <cell r="FT19">
            <v>9600</v>
          </cell>
          <cell r="FU19">
            <v>96960</v>
          </cell>
          <cell r="GE19">
            <v>24000</v>
          </cell>
        </row>
        <row r="20">
          <cell r="B20" t="str">
            <v>МКДОУ "Сказка" с.Ашали</v>
          </cell>
          <cell r="AX20">
            <v>18</v>
          </cell>
          <cell r="BH20">
            <v>422832</v>
          </cell>
          <cell r="BQ20">
            <v>899383.91540029109</v>
          </cell>
          <cell r="BW20">
            <v>464694.30000000005</v>
          </cell>
          <cell r="CB20">
            <v>472660.48800000001</v>
          </cell>
          <cell r="CN20">
            <v>2395926.6352559999</v>
          </cell>
          <cell r="CQ20">
            <v>482593.29000000004</v>
          </cell>
          <cell r="CV20">
            <v>0</v>
          </cell>
          <cell r="DF20">
            <v>5715.665</v>
          </cell>
          <cell r="DL20">
            <v>1260</v>
          </cell>
          <cell r="DO20">
            <v>6000</v>
          </cell>
          <cell r="DR20">
            <v>360</v>
          </cell>
          <cell r="ED20">
            <v>6600</v>
          </cell>
          <cell r="EF20">
            <v>4680</v>
          </cell>
          <cell r="ER20">
            <v>112439.52</v>
          </cell>
          <cell r="EU20">
            <v>15000</v>
          </cell>
          <cell r="FF20">
            <v>18382.14</v>
          </cell>
          <cell r="FT20">
            <v>2160</v>
          </cell>
          <cell r="FU20">
            <v>21816</v>
          </cell>
          <cell r="GE20">
            <v>6000</v>
          </cell>
        </row>
        <row r="21">
          <cell r="B21" t="str">
            <v>МКДОУ "Журавлик" с.Шодрода</v>
          </cell>
          <cell r="AX21">
            <v>26</v>
          </cell>
          <cell r="BH21">
            <v>355680</v>
          </cell>
          <cell r="BQ21">
            <v>825613.315400291</v>
          </cell>
          <cell r="BW21">
            <v>288630</v>
          </cell>
          <cell r="CB21">
            <v>411009.12</v>
          </cell>
          <cell r="CN21">
            <v>2083414.4654399999</v>
          </cell>
          <cell r="CQ21">
            <v>585754.89</v>
          </cell>
          <cell r="CV21">
            <v>0</v>
          </cell>
          <cell r="DF21">
            <v>5000</v>
          </cell>
          <cell r="DL21">
            <v>1820</v>
          </cell>
          <cell r="DO21">
            <v>6000</v>
          </cell>
          <cell r="DR21">
            <v>520</v>
          </cell>
          <cell r="EF21">
            <v>6760</v>
          </cell>
          <cell r="ER21">
            <v>108371.52</v>
          </cell>
          <cell r="EU21">
            <v>15000</v>
          </cell>
          <cell r="FF21">
            <v>26551.98</v>
          </cell>
          <cell r="FT21">
            <v>3120</v>
          </cell>
          <cell r="FU21">
            <v>31512</v>
          </cell>
          <cell r="GE21">
            <v>6000</v>
          </cell>
        </row>
        <row r="22">
          <cell r="B22" t="str">
            <v>МКДОУ "Теремок" с.Годобери</v>
          </cell>
          <cell r="AX22">
            <v>70</v>
          </cell>
          <cell r="BH22">
            <v>419644.19999999995</v>
          </cell>
          <cell r="BQ22">
            <v>2738864.44727802</v>
          </cell>
          <cell r="BW22">
            <v>531079.19999999995</v>
          </cell>
          <cell r="CB22">
            <v>1417981.4640000002</v>
          </cell>
          <cell r="CN22">
            <v>3346691.1730559999</v>
          </cell>
          <cell r="CQ22">
            <v>1367115.8900000001</v>
          </cell>
          <cell r="CV22">
            <v>0</v>
          </cell>
          <cell r="DF22">
            <v>5823.3950000000004</v>
          </cell>
          <cell r="DL22">
            <v>4900</v>
          </cell>
          <cell r="DO22">
            <v>6000</v>
          </cell>
          <cell r="DR22">
            <v>1400</v>
          </cell>
          <cell r="EF22">
            <v>18200</v>
          </cell>
          <cell r="ER22">
            <v>206084.87999999998</v>
          </cell>
          <cell r="EU22">
            <v>15000</v>
          </cell>
          <cell r="FF22">
            <v>71486.100000000006</v>
          </cell>
          <cell r="FT22">
            <v>8400</v>
          </cell>
          <cell r="FU22">
            <v>84840</v>
          </cell>
          <cell r="GE22">
            <v>18000</v>
          </cell>
        </row>
        <row r="23">
          <cell r="B23" t="str">
            <v>МКДОУ "Орленок" с.Зило</v>
          </cell>
          <cell r="AX23">
            <v>20</v>
          </cell>
          <cell r="BH23">
            <v>398585.39999999997</v>
          </cell>
          <cell r="BQ23">
            <v>907663.91540029109</v>
          </cell>
          <cell r="BW23">
            <v>331924.5</v>
          </cell>
          <cell r="CB23">
            <v>472660.48800000001</v>
          </cell>
          <cell r="CN23">
            <v>2395926.6352559999</v>
          </cell>
          <cell r="CQ23">
            <v>566872.39</v>
          </cell>
          <cell r="CV23">
            <v>0</v>
          </cell>
          <cell r="DF23">
            <v>7110.62</v>
          </cell>
          <cell r="DL23">
            <v>1400</v>
          </cell>
          <cell r="DO23">
            <v>6000</v>
          </cell>
          <cell r="DR23">
            <v>400</v>
          </cell>
          <cell r="ED23">
            <v>18000</v>
          </cell>
          <cell r="EF23">
            <v>5200</v>
          </cell>
          <cell r="ER23">
            <v>108370.52</v>
          </cell>
          <cell r="EU23">
            <v>15000</v>
          </cell>
          <cell r="FF23">
            <v>20424.599999999999</v>
          </cell>
          <cell r="FT23">
            <v>2400</v>
          </cell>
          <cell r="FU23">
            <v>24240</v>
          </cell>
          <cell r="GE23">
            <v>6000</v>
          </cell>
        </row>
        <row r="24">
          <cell r="DJ24">
            <v>113716205.76399997</v>
          </cell>
          <cell r="DK24">
            <v>43931448.684000008</v>
          </cell>
          <cell r="DL24">
            <v>102692</v>
          </cell>
          <cell r="DM24">
            <v>34342293.140728004</v>
          </cell>
          <cell r="DN24">
            <v>13267297.502568001</v>
          </cell>
          <cell r="DO24">
            <v>96000</v>
          </cell>
          <cell r="DP24">
            <v>0</v>
          </cell>
          <cell r="DQ24">
            <v>0</v>
          </cell>
          <cell r="DR24">
            <v>29341</v>
          </cell>
          <cell r="DS24">
            <v>111000.16000000002</v>
          </cell>
          <cell r="DT24">
            <v>2962550</v>
          </cell>
          <cell r="DU24">
            <v>3149258.4</v>
          </cell>
          <cell r="DV24">
            <v>381805.2</v>
          </cell>
          <cell r="DW24">
            <v>0</v>
          </cell>
          <cell r="DY24">
            <v>322800</v>
          </cell>
          <cell r="DZ24">
            <v>0</v>
          </cell>
          <cell r="EA24">
            <v>43118.243999999999</v>
          </cell>
          <cell r="EB24">
            <v>12000</v>
          </cell>
          <cell r="EC24">
            <v>201276</v>
          </cell>
          <cell r="ED24">
            <v>50900</v>
          </cell>
          <cell r="EE24">
            <v>0</v>
          </cell>
          <cell r="EF24">
            <v>381420</v>
          </cell>
          <cell r="EG24">
            <v>80000</v>
          </cell>
          <cell r="EH24">
            <v>107248.9</v>
          </cell>
          <cell r="EI24">
            <v>128000</v>
          </cell>
          <cell r="EJ24">
            <v>480000</v>
          </cell>
          <cell r="EK24">
            <v>29300</v>
          </cell>
          <cell r="EL24">
            <v>94649.439999999973</v>
          </cell>
          <cell r="EM24">
            <v>0</v>
          </cell>
          <cell r="EN24">
            <v>0</v>
          </cell>
          <cell r="EO24">
            <v>14050.789999999999</v>
          </cell>
          <cell r="EP24">
            <v>0</v>
          </cell>
          <cell r="EQ24">
            <v>159500</v>
          </cell>
          <cell r="ER24">
            <v>4511004.1999999993</v>
          </cell>
          <cell r="ES24">
            <v>0</v>
          </cell>
          <cell r="ET24">
            <v>0</v>
          </cell>
          <cell r="EU24">
            <v>258000</v>
          </cell>
          <cell r="EV24">
            <v>0</v>
          </cell>
          <cell r="EW24">
            <v>13000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F24">
            <v>1505400.41</v>
          </cell>
          <cell r="FH24">
            <v>0</v>
          </cell>
          <cell r="FI24">
            <v>77031.211049999998</v>
          </cell>
          <cell r="FJ24">
            <v>15000</v>
          </cell>
          <cell r="FK24">
            <v>0</v>
          </cell>
          <cell r="FL24">
            <v>80000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R24">
            <v>0</v>
          </cell>
          <cell r="FS24">
            <v>1890000</v>
          </cell>
          <cell r="FT24">
            <v>176040</v>
          </cell>
          <cell r="FU24">
            <v>1778004</v>
          </cell>
          <cell r="FV24">
            <v>0</v>
          </cell>
          <cell r="FW24">
            <v>0</v>
          </cell>
          <cell r="FX24">
            <v>120294</v>
          </cell>
          <cell r="FY24">
            <v>20445968</v>
          </cell>
          <cell r="FZ24">
            <v>0</v>
          </cell>
          <cell r="GA24">
            <v>0</v>
          </cell>
          <cell r="GB24">
            <v>151126</v>
          </cell>
          <cell r="GC24">
            <v>0</v>
          </cell>
          <cell r="GD24">
            <v>140000</v>
          </cell>
          <cell r="GE24">
            <v>420000</v>
          </cell>
          <cell r="GF24">
            <v>490000</v>
          </cell>
          <cell r="GG24">
            <v>800000</v>
          </cell>
          <cell r="GH24">
            <v>75000</v>
          </cell>
          <cell r="GI24">
            <v>0</v>
          </cell>
          <cell r="GJ24">
            <v>0</v>
          </cell>
          <cell r="GK24">
            <v>0</v>
          </cell>
        </row>
      </sheetData>
      <sheetData sheetId="34">
        <row r="6">
          <cell r="BM6">
            <v>1308840.9099999999</v>
          </cell>
          <cell r="BN6">
            <v>5000</v>
          </cell>
          <cell r="BO6">
            <v>395269.95481999993</v>
          </cell>
          <cell r="BQ6">
            <v>0</v>
          </cell>
          <cell r="BS6">
            <v>80500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CB6">
            <v>0</v>
          </cell>
          <cell r="CC6">
            <v>12000</v>
          </cell>
          <cell r="CG6">
            <v>41000</v>
          </cell>
          <cell r="CH6">
            <v>0</v>
          </cell>
          <cell r="CI6">
            <v>5000</v>
          </cell>
          <cell r="CL6">
            <v>0</v>
          </cell>
          <cell r="CT6">
            <v>13088.409099999999</v>
          </cell>
          <cell r="CU6">
            <v>13000</v>
          </cell>
          <cell r="CV6">
            <v>0</v>
          </cell>
          <cell r="DG6">
            <v>0</v>
          </cell>
          <cell r="DH6">
            <v>0</v>
          </cell>
          <cell r="DI6">
            <v>15000</v>
          </cell>
          <cell r="DW6">
            <v>0</v>
          </cell>
          <cell r="DX6">
            <v>0</v>
          </cell>
          <cell r="DY6">
            <v>0</v>
          </cell>
          <cell r="EC6">
            <v>5000</v>
          </cell>
          <cell r="ED6">
            <v>50000</v>
          </cell>
        </row>
        <row r="7">
          <cell r="BM7">
            <v>1577417.22</v>
          </cell>
          <cell r="BN7">
            <v>6600</v>
          </cell>
          <cell r="BO7">
            <v>476380.00043999997</v>
          </cell>
          <cell r="BQ7">
            <v>0</v>
          </cell>
          <cell r="BS7">
            <v>6600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CB7">
            <v>0</v>
          </cell>
          <cell r="CC7">
            <v>0</v>
          </cell>
          <cell r="CG7">
            <v>16800</v>
          </cell>
          <cell r="CH7">
            <v>0</v>
          </cell>
          <cell r="CI7">
            <v>5000</v>
          </cell>
          <cell r="CL7">
            <v>0</v>
          </cell>
          <cell r="CT7">
            <v>15774.172199999999</v>
          </cell>
          <cell r="CU7">
            <v>0</v>
          </cell>
          <cell r="CV7">
            <v>0</v>
          </cell>
          <cell r="DR7">
            <v>20000</v>
          </cell>
          <cell r="DW7">
            <v>0</v>
          </cell>
          <cell r="DX7">
            <v>0</v>
          </cell>
          <cell r="DY7">
            <v>0</v>
          </cell>
          <cell r="EC7">
            <v>25000</v>
          </cell>
        </row>
        <row r="8">
          <cell r="CE8">
            <v>9500</v>
          </cell>
        </row>
        <row r="9">
          <cell r="BM9">
            <v>8339568.0499999998</v>
          </cell>
          <cell r="BN9">
            <v>199200</v>
          </cell>
          <cell r="BO9">
            <v>2518549.5510999998</v>
          </cell>
          <cell r="BQ9">
            <v>358944</v>
          </cell>
          <cell r="BS9">
            <v>55000</v>
          </cell>
          <cell r="BT9">
            <v>0</v>
          </cell>
          <cell r="BU9">
            <v>0</v>
          </cell>
          <cell r="BV9">
            <v>441400</v>
          </cell>
          <cell r="BW9">
            <v>0</v>
          </cell>
          <cell r="CB9">
            <v>0</v>
          </cell>
          <cell r="CC9">
            <v>24000</v>
          </cell>
          <cell r="CG9">
            <v>122000</v>
          </cell>
          <cell r="CH9">
            <v>0</v>
          </cell>
          <cell r="CI9">
            <v>10000</v>
          </cell>
          <cell r="CJ9">
            <v>1000000</v>
          </cell>
          <cell r="CK9">
            <v>8000</v>
          </cell>
          <cell r="CL9">
            <v>0</v>
          </cell>
          <cell r="CR9">
            <v>200000</v>
          </cell>
          <cell r="CS9">
            <v>66540</v>
          </cell>
          <cell r="CT9">
            <v>78365.680500000002</v>
          </cell>
          <cell r="CU9">
            <v>26000</v>
          </cell>
          <cell r="CV9">
            <v>0</v>
          </cell>
          <cell r="DG9">
            <v>289498.61599999998</v>
          </cell>
          <cell r="DH9">
            <v>9622.17</v>
          </cell>
          <cell r="DI9">
            <v>30000</v>
          </cell>
          <cell r="DQ9">
            <v>58873</v>
          </cell>
          <cell r="DR9">
            <v>400000</v>
          </cell>
          <cell r="DW9">
            <v>0</v>
          </cell>
          <cell r="DX9">
            <v>0</v>
          </cell>
          <cell r="DY9">
            <v>758748</v>
          </cell>
          <cell r="EB9">
            <v>40841</v>
          </cell>
          <cell r="EC9">
            <v>200000</v>
          </cell>
          <cell r="ED9">
            <v>150000</v>
          </cell>
          <cell r="EG9">
            <v>600000</v>
          </cell>
        </row>
        <row r="10">
          <cell r="DG10">
            <v>0</v>
          </cell>
          <cell r="DH10">
            <v>0</v>
          </cell>
          <cell r="EC10">
            <v>3890</v>
          </cell>
        </row>
        <row r="11">
          <cell r="BM11">
            <v>1462365.0349999999</v>
          </cell>
          <cell r="BN11">
            <v>15000</v>
          </cell>
          <cell r="BO11">
            <v>441634.24056999997</v>
          </cell>
          <cell r="BQ11">
            <v>0</v>
          </cell>
          <cell r="BS11">
            <v>15000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CB11">
            <v>0</v>
          </cell>
          <cell r="CC11">
            <v>0</v>
          </cell>
          <cell r="CG11">
            <v>25000</v>
          </cell>
          <cell r="CH11">
            <v>0</v>
          </cell>
          <cell r="CI11">
            <v>22770</v>
          </cell>
          <cell r="CL11">
            <v>0</v>
          </cell>
          <cell r="CR11">
            <v>30000</v>
          </cell>
          <cell r="CT11">
            <v>14623.65035</v>
          </cell>
          <cell r="CU11">
            <v>0</v>
          </cell>
          <cell r="CV11">
            <v>0</v>
          </cell>
          <cell r="DG11">
            <v>0</v>
          </cell>
          <cell r="DH11">
            <v>0</v>
          </cell>
          <cell r="DQ11">
            <v>10000</v>
          </cell>
          <cell r="DR11">
            <v>70000</v>
          </cell>
          <cell r="DW11">
            <v>0</v>
          </cell>
          <cell r="DX11">
            <v>0</v>
          </cell>
          <cell r="DY11">
            <v>0</v>
          </cell>
          <cell r="EC11">
            <v>70000</v>
          </cell>
        </row>
        <row r="12">
          <cell r="EH12">
            <v>9120126.2999999989</v>
          </cell>
        </row>
        <row r="13">
          <cell r="BM13">
            <v>1313029.425</v>
          </cell>
          <cell r="BN13">
            <v>15000</v>
          </cell>
          <cell r="BO13">
            <v>396534.88634999999</v>
          </cell>
          <cell r="BP13">
            <v>50000</v>
          </cell>
          <cell r="BQ13">
            <v>0</v>
          </cell>
          <cell r="BS13">
            <v>15000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CB13">
            <v>0</v>
          </cell>
          <cell r="CC13">
            <v>0</v>
          </cell>
          <cell r="CG13">
            <v>20000</v>
          </cell>
          <cell r="CI13">
            <v>5000</v>
          </cell>
          <cell r="CL13">
            <v>0</v>
          </cell>
          <cell r="CR13">
            <v>332000</v>
          </cell>
          <cell r="CT13">
            <v>13130.294250000001</v>
          </cell>
          <cell r="CU13">
            <v>0</v>
          </cell>
          <cell r="CV13">
            <v>0</v>
          </cell>
          <cell r="DG13">
            <v>0</v>
          </cell>
          <cell r="DH13">
            <v>0</v>
          </cell>
          <cell r="DW13">
            <v>0</v>
          </cell>
          <cell r="DX13">
            <v>0</v>
          </cell>
          <cell r="DY13">
            <v>0</v>
          </cell>
        </row>
        <row r="14">
          <cell r="BQ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CB14">
            <v>0</v>
          </cell>
          <cell r="CC14">
            <v>0</v>
          </cell>
          <cell r="CH14">
            <v>0</v>
          </cell>
          <cell r="CL14">
            <v>0</v>
          </cell>
          <cell r="CR14">
            <v>15000</v>
          </cell>
          <cell r="CT14">
            <v>0</v>
          </cell>
          <cell r="CU14">
            <v>0</v>
          </cell>
          <cell r="CV14">
            <v>0</v>
          </cell>
          <cell r="DW14">
            <v>0</v>
          </cell>
          <cell r="DX14">
            <v>0</v>
          </cell>
          <cell r="DY14">
            <v>0</v>
          </cell>
        </row>
        <row r="15">
          <cell r="CQ15">
            <v>60000</v>
          </cell>
          <cell r="DS15">
            <v>190000</v>
          </cell>
        </row>
        <row r="16">
          <cell r="BM16">
            <v>1358540.145</v>
          </cell>
          <cell r="BN16">
            <v>10000</v>
          </cell>
          <cell r="BO16">
            <v>410279.12378999998</v>
          </cell>
          <cell r="BQ16">
            <v>0</v>
          </cell>
          <cell r="BS16">
            <v>5000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CB16">
            <v>0</v>
          </cell>
          <cell r="CC16">
            <v>0</v>
          </cell>
          <cell r="CG16">
            <v>30000</v>
          </cell>
          <cell r="CH16">
            <v>0</v>
          </cell>
          <cell r="CI16">
            <v>5000</v>
          </cell>
          <cell r="CL16">
            <v>0</v>
          </cell>
          <cell r="CT16">
            <v>13585.401449999999</v>
          </cell>
          <cell r="CU16">
            <v>0</v>
          </cell>
          <cell r="CV16">
            <v>0</v>
          </cell>
          <cell r="DW16">
            <v>0</v>
          </cell>
          <cell r="DX16">
            <v>0</v>
          </cell>
          <cell r="DY16">
            <v>0</v>
          </cell>
        </row>
        <row r="17">
          <cell r="BM17">
            <v>266280.5</v>
          </cell>
          <cell r="BN17">
            <v>7500</v>
          </cell>
          <cell r="BO17">
            <v>80416.710999999996</v>
          </cell>
          <cell r="BQ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CB17">
            <v>0</v>
          </cell>
          <cell r="CC17">
            <v>0</v>
          </cell>
          <cell r="CH17">
            <v>0</v>
          </cell>
          <cell r="CL17">
            <v>0</v>
          </cell>
          <cell r="CT17">
            <v>2662.8049999999998</v>
          </cell>
          <cell r="CU17">
            <v>0</v>
          </cell>
          <cell r="CV17">
            <v>0</v>
          </cell>
          <cell r="DR17">
            <v>36140</v>
          </cell>
          <cell r="DW17">
            <v>0</v>
          </cell>
          <cell r="DX17">
            <v>0</v>
          </cell>
          <cell r="DY17">
            <v>0</v>
          </cell>
        </row>
        <row r="18">
          <cell r="BM18">
            <v>527866.01</v>
          </cell>
          <cell r="BN18">
            <v>7500</v>
          </cell>
          <cell r="BO18">
            <v>159415.53502000001</v>
          </cell>
          <cell r="BQ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CB18">
            <v>0</v>
          </cell>
          <cell r="CC18">
            <v>0</v>
          </cell>
          <cell r="CH18">
            <v>0</v>
          </cell>
          <cell r="CL18">
            <v>0</v>
          </cell>
          <cell r="CT18">
            <v>5278.6601000000001</v>
          </cell>
          <cell r="CU18">
            <v>0</v>
          </cell>
          <cell r="CV18">
            <v>0</v>
          </cell>
          <cell r="DR18">
            <v>60000</v>
          </cell>
          <cell r="DW18">
            <v>0</v>
          </cell>
          <cell r="DX18">
            <v>0</v>
          </cell>
          <cell r="DY18">
            <v>0</v>
          </cell>
          <cell r="EC18">
            <v>26940</v>
          </cell>
        </row>
        <row r="19">
          <cell r="BQ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CB19">
            <v>0</v>
          </cell>
          <cell r="CC19">
            <v>0</v>
          </cell>
          <cell r="CH19">
            <v>0</v>
          </cell>
          <cell r="CL19">
            <v>0</v>
          </cell>
          <cell r="CR19">
            <v>20000</v>
          </cell>
          <cell r="CT19">
            <v>0</v>
          </cell>
          <cell r="CU19">
            <v>0</v>
          </cell>
          <cell r="CV19">
            <v>0</v>
          </cell>
          <cell r="DW19">
            <v>0</v>
          </cell>
          <cell r="DX19">
            <v>0</v>
          </cell>
          <cell r="DY19">
            <v>0</v>
          </cell>
          <cell r="EC19">
            <v>46100</v>
          </cell>
        </row>
        <row r="20">
          <cell r="EH20">
            <v>1470410.4100000001</v>
          </cell>
        </row>
        <row r="21">
          <cell r="DF21">
            <v>2750000</v>
          </cell>
        </row>
        <row r="22">
          <cell r="DE22">
            <v>12000</v>
          </cell>
        </row>
        <row r="23">
          <cell r="DT23">
            <v>1830000</v>
          </cell>
        </row>
        <row r="24">
          <cell r="CQ24">
            <v>45000</v>
          </cell>
        </row>
        <row r="25">
          <cell r="DS25">
            <v>1500000</v>
          </cell>
        </row>
        <row r="27">
          <cell r="DS27">
            <v>200000</v>
          </cell>
        </row>
        <row r="28">
          <cell r="BQ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CB28">
            <v>0</v>
          </cell>
          <cell r="CC28">
            <v>0</v>
          </cell>
          <cell r="CH28">
            <v>0</v>
          </cell>
          <cell r="CL28">
            <v>0</v>
          </cell>
          <cell r="CT28">
            <v>0</v>
          </cell>
          <cell r="CU28">
            <v>0</v>
          </cell>
          <cell r="CV28">
            <v>0</v>
          </cell>
          <cell r="DW28">
            <v>0</v>
          </cell>
          <cell r="DX28">
            <v>0</v>
          </cell>
          <cell r="DY28">
            <v>0</v>
          </cell>
        </row>
        <row r="29">
          <cell r="BM29">
            <v>1053861.9350000001</v>
          </cell>
          <cell r="BN29">
            <v>9500</v>
          </cell>
          <cell r="BO29">
            <v>318266.30437000003</v>
          </cell>
          <cell r="BQ29">
            <v>0</v>
          </cell>
          <cell r="BS29">
            <v>7000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CB29">
            <v>0</v>
          </cell>
          <cell r="CC29">
            <v>0</v>
          </cell>
          <cell r="CG29">
            <v>18500</v>
          </cell>
          <cell r="CH29">
            <v>0</v>
          </cell>
          <cell r="CI29">
            <v>5000</v>
          </cell>
          <cell r="CL29">
            <v>0</v>
          </cell>
          <cell r="CT29">
            <v>10538.619350000001</v>
          </cell>
          <cell r="CU29">
            <v>0</v>
          </cell>
          <cell r="CV29">
            <v>0</v>
          </cell>
          <cell r="DW29">
            <v>0</v>
          </cell>
          <cell r="DX29">
            <v>0</v>
          </cell>
          <cell r="DY29">
            <v>0</v>
          </cell>
          <cell r="EC29">
            <v>15000</v>
          </cell>
        </row>
        <row r="30">
          <cell r="BQ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CB30">
            <v>0</v>
          </cell>
          <cell r="CC30">
            <v>0</v>
          </cell>
          <cell r="CH30">
            <v>0</v>
          </cell>
          <cell r="CL30">
            <v>0</v>
          </cell>
          <cell r="CT30">
            <v>0</v>
          </cell>
          <cell r="CU30">
            <v>0</v>
          </cell>
          <cell r="CV30">
            <v>0</v>
          </cell>
          <cell r="DP30">
            <v>1000000</v>
          </cell>
          <cell r="DW30">
            <v>0</v>
          </cell>
          <cell r="DX30">
            <v>0</v>
          </cell>
          <cell r="DY30">
            <v>0</v>
          </cell>
          <cell r="EG30">
            <v>250000</v>
          </cell>
        </row>
        <row r="31">
          <cell r="CZ31">
            <v>30000</v>
          </cell>
        </row>
        <row r="36">
          <cell r="BL36">
            <v>0</v>
          </cell>
        </row>
        <row r="37">
          <cell r="BH37">
            <v>3500</v>
          </cell>
        </row>
        <row r="38">
          <cell r="A38" t="str">
            <v>МП "Комплексная программа противодействия идеологии терроризма"</v>
          </cell>
          <cell r="CQ38">
            <v>40000</v>
          </cell>
        </row>
        <row r="39">
          <cell r="A39" t="str">
            <v>МП "Комплексная програма профилактики правонарушений на 2024-2026гг"</v>
          </cell>
          <cell r="CQ39">
            <v>30000</v>
          </cell>
        </row>
        <row r="40">
          <cell r="A40" t="str">
            <v>МП "Комплексная меры противодействия злоупотреблению нарктическими средствами и их незакооному обороту "</v>
          </cell>
          <cell r="CQ40">
            <v>80000</v>
          </cell>
        </row>
        <row r="44">
          <cell r="CE44">
            <v>9500</v>
          </cell>
        </row>
      </sheetData>
      <sheetData sheetId="35">
        <row r="7">
          <cell r="BS7">
            <v>3512223.3</v>
          </cell>
          <cell r="BU7">
            <v>1060691.4365999999</v>
          </cell>
          <cell r="BW7">
            <v>13392</v>
          </cell>
          <cell r="BZ7">
            <v>20637.68</v>
          </cell>
          <cell r="CA7">
            <v>14730</v>
          </cell>
          <cell r="CB7">
            <v>51840</v>
          </cell>
          <cell r="CG7">
            <v>6107.4000000000005</v>
          </cell>
          <cell r="CH7">
            <v>12000</v>
          </cell>
          <cell r="CM7">
            <v>0</v>
          </cell>
          <cell r="CN7">
            <v>5000</v>
          </cell>
          <cell r="CP7">
            <v>8000</v>
          </cell>
          <cell r="CQ7">
            <v>0</v>
          </cell>
          <cell r="CW7">
            <v>320686</v>
          </cell>
          <cell r="CZ7">
            <v>13000</v>
          </cell>
          <cell r="DA7">
            <v>0</v>
          </cell>
          <cell r="DK7">
            <v>26015.131999999998</v>
          </cell>
          <cell r="DL7">
            <v>769.07999999999993</v>
          </cell>
          <cell r="DM7">
            <v>15000</v>
          </cell>
          <cell r="DO7">
            <v>5000</v>
          </cell>
          <cell r="DV7">
            <v>30000</v>
          </cell>
          <cell r="EA7">
            <v>0</v>
          </cell>
          <cell r="EB7">
            <v>0</v>
          </cell>
          <cell r="EC7">
            <v>101550</v>
          </cell>
          <cell r="EG7">
            <v>30000</v>
          </cell>
          <cell r="EH7">
            <v>50000</v>
          </cell>
        </row>
        <row r="8">
          <cell r="CV8">
            <v>15000</v>
          </cell>
        </row>
        <row r="9">
          <cell r="CJ9">
            <v>13700</v>
          </cell>
          <cell r="CV9">
            <v>15000</v>
          </cell>
          <cell r="DW9">
            <v>0</v>
          </cell>
        </row>
      </sheetData>
      <sheetData sheetId="36">
        <row r="7">
          <cell r="BS7">
            <v>2476710.855</v>
          </cell>
          <cell r="BT7">
            <v>9000</v>
          </cell>
          <cell r="BU7">
            <v>747966.67820999993</v>
          </cell>
          <cell r="BV7">
            <v>98400</v>
          </cell>
          <cell r="BW7">
            <v>0</v>
          </cell>
          <cell r="BY7">
            <v>5000</v>
          </cell>
          <cell r="BZ7">
            <v>0</v>
          </cell>
          <cell r="CA7">
            <v>0</v>
          </cell>
          <cell r="CB7">
            <v>0</v>
          </cell>
          <cell r="CG7">
            <v>0</v>
          </cell>
          <cell r="CL7">
            <v>30000</v>
          </cell>
          <cell r="CM7">
            <v>0</v>
          </cell>
          <cell r="CN7">
            <v>5000</v>
          </cell>
          <cell r="CQ7">
            <v>0</v>
          </cell>
          <cell r="CW7">
            <v>15000</v>
          </cell>
          <cell r="DA7">
            <v>0</v>
          </cell>
          <cell r="DK7">
            <v>0</v>
          </cell>
          <cell r="DL7">
            <v>0</v>
          </cell>
          <cell r="DO7">
            <v>5000</v>
          </cell>
          <cell r="DV7">
            <v>30000</v>
          </cell>
          <cell r="EA7">
            <v>0</v>
          </cell>
          <cell r="EB7">
            <v>0</v>
          </cell>
          <cell r="EC7">
            <v>0</v>
          </cell>
          <cell r="EG7">
            <v>18672</v>
          </cell>
        </row>
        <row r="8">
          <cell r="CV8">
            <v>96000</v>
          </cell>
          <cell r="CX8">
            <v>153000</v>
          </cell>
        </row>
      </sheetData>
      <sheetData sheetId="37">
        <row r="6">
          <cell r="BS6">
            <v>6360698.7000000002</v>
          </cell>
          <cell r="BT6">
            <v>3600</v>
          </cell>
          <cell r="BU6">
            <v>1920931.0074</v>
          </cell>
          <cell r="BW6">
            <v>0</v>
          </cell>
          <cell r="BY6">
            <v>2400</v>
          </cell>
          <cell r="BZ6">
            <v>46483.199999999997</v>
          </cell>
          <cell r="CA6">
            <v>0</v>
          </cell>
          <cell r="CB6">
            <v>881431.20000000007</v>
          </cell>
          <cell r="CG6">
            <v>27279.72</v>
          </cell>
          <cell r="CL6">
            <v>12200</v>
          </cell>
          <cell r="CM6">
            <v>0</v>
          </cell>
          <cell r="CN6">
            <v>5000</v>
          </cell>
          <cell r="CQ6">
            <v>0</v>
          </cell>
          <cell r="DA6">
            <v>0</v>
          </cell>
          <cell r="DK6">
            <v>336477.196</v>
          </cell>
          <cell r="DL6">
            <v>0</v>
          </cell>
          <cell r="DO6">
            <v>5000</v>
          </cell>
          <cell r="DV6">
            <v>30000</v>
          </cell>
          <cell r="EA6">
            <v>0</v>
          </cell>
          <cell r="EB6">
            <v>0</v>
          </cell>
          <cell r="EC6">
            <v>0</v>
          </cell>
          <cell r="EF6">
            <v>100000</v>
          </cell>
          <cell r="EG6">
            <v>250000</v>
          </cell>
        </row>
      </sheetData>
      <sheetData sheetId="38">
        <row r="7">
          <cell r="BQ7">
            <v>10962144</v>
          </cell>
          <cell r="BR7">
            <v>14000</v>
          </cell>
          <cell r="BS7">
            <v>3310567.4879999999</v>
          </cell>
          <cell r="BT7">
            <v>6000</v>
          </cell>
          <cell r="BU7">
            <v>13392</v>
          </cell>
          <cell r="BW7">
            <v>8000</v>
          </cell>
          <cell r="BX7">
            <v>15225.400000000001</v>
          </cell>
          <cell r="BY7">
            <v>49500</v>
          </cell>
          <cell r="BZ7">
            <v>81309.600000000006</v>
          </cell>
          <cell r="CE7">
            <v>6107.4000000000005</v>
          </cell>
          <cell r="CH7">
            <v>6000</v>
          </cell>
          <cell r="CJ7">
            <v>28000</v>
          </cell>
          <cell r="CK7">
            <v>1052229.5280000002</v>
          </cell>
          <cell r="CL7">
            <v>5000</v>
          </cell>
          <cell r="CN7">
            <v>17600</v>
          </cell>
          <cell r="CO7">
            <v>0</v>
          </cell>
          <cell r="CT7">
            <v>10000</v>
          </cell>
          <cell r="CU7">
            <v>90000</v>
          </cell>
          <cell r="CY7">
            <v>0</v>
          </cell>
          <cell r="DI7">
            <v>1432.53</v>
          </cell>
          <cell r="DJ7">
            <v>275.24699999999996</v>
          </cell>
          <cell r="DM7">
            <v>5000</v>
          </cell>
          <cell r="DY7">
            <v>0</v>
          </cell>
          <cell r="DZ7">
            <v>0</v>
          </cell>
          <cell r="EA7">
            <v>0</v>
          </cell>
          <cell r="EE7">
            <v>100000</v>
          </cell>
          <cell r="EH7">
            <v>50000</v>
          </cell>
        </row>
        <row r="8">
          <cell r="BU8">
            <v>0</v>
          </cell>
          <cell r="BX8">
            <v>0</v>
          </cell>
          <cell r="BY8">
            <v>0</v>
          </cell>
          <cell r="BZ8">
            <v>0</v>
          </cell>
          <cell r="CE8">
            <v>0</v>
          </cell>
          <cell r="CK8">
            <v>0</v>
          </cell>
          <cell r="CO8">
            <v>0</v>
          </cell>
          <cell r="CY8">
            <v>0</v>
          </cell>
          <cell r="DT8">
            <v>206486</v>
          </cell>
          <cell r="DY8">
            <v>0</v>
          </cell>
          <cell r="DZ8">
            <v>0</v>
          </cell>
          <cell r="EA8">
            <v>0</v>
          </cell>
        </row>
        <row r="9">
          <cell r="CH9">
            <v>6000</v>
          </cell>
        </row>
      </sheetData>
      <sheetData sheetId="39">
        <row r="7">
          <cell r="BQ7">
            <v>11096760</v>
          </cell>
          <cell r="BR7">
            <v>85000</v>
          </cell>
          <cell r="BS7">
            <v>3351221.52</v>
          </cell>
          <cell r="BU7">
            <v>13392</v>
          </cell>
          <cell r="BW7">
            <v>9000</v>
          </cell>
          <cell r="BX7">
            <v>20788.32</v>
          </cell>
          <cell r="BY7">
            <v>159870</v>
          </cell>
          <cell r="BZ7">
            <v>88200</v>
          </cell>
          <cell r="CE7">
            <v>10993.320000000002</v>
          </cell>
          <cell r="CH7">
            <v>26000</v>
          </cell>
          <cell r="CJ7">
            <v>110000</v>
          </cell>
          <cell r="CK7">
            <v>2104459.0560000003</v>
          </cell>
          <cell r="CL7">
            <v>5000</v>
          </cell>
          <cell r="CO7">
            <v>0</v>
          </cell>
          <cell r="CT7">
            <v>15000</v>
          </cell>
          <cell r="CU7">
            <v>400000</v>
          </cell>
          <cell r="CX7">
            <v>13000</v>
          </cell>
          <cell r="CY7">
            <v>0</v>
          </cell>
          <cell r="DI7">
            <v>0</v>
          </cell>
          <cell r="DJ7">
            <v>1124.2528500000001</v>
          </cell>
          <cell r="DK7">
            <v>15000</v>
          </cell>
          <cell r="DM7">
            <v>5000</v>
          </cell>
          <cell r="DR7">
            <v>1400000</v>
          </cell>
          <cell r="DT7">
            <v>2000000</v>
          </cell>
          <cell r="DY7">
            <v>0</v>
          </cell>
          <cell r="DZ7">
            <v>0</v>
          </cell>
          <cell r="EA7">
            <v>246658</v>
          </cell>
          <cell r="EE7">
            <v>50000</v>
          </cell>
          <cell r="EF7">
            <v>75000</v>
          </cell>
          <cell r="EH7">
            <v>250000</v>
          </cell>
        </row>
        <row r="8">
          <cell r="BU8">
            <v>0</v>
          </cell>
          <cell r="BX8">
            <v>0</v>
          </cell>
          <cell r="BY8">
            <v>0</v>
          </cell>
          <cell r="BZ8">
            <v>0</v>
          </cell>
          <cell r="CE8">
            <v>0</v>
          </cell>
          <cell r="CO8">
            <v>0</v>
          </cell>
          <cell r="CS8">
            <v>0</v>
          </cell>
          <cell r="CY8">
            <v>0</v>
          </cell>
          <cell r="DY8">
            <v>0</v>
          </cell>
          <cell r="DZ8">
            <v>0</v>
          </cell>
          <cell r="EA8">
            <v>0</v>
          </cell>
        </row>
        <row r="9">
          <cell r="BU9">
            <v>0</v>
          </cell>
          <cell r="BX9">
            <v>0</v>
          </cell>
          <cell r="BY9">
            <v>0</v>
          </cell>
          <cell r="BZ9">
            <v>0</v>
          </cell>
          <cell r="CE9">
            <v>0</v>
          </cell>
          <cell r="CO9">
            <v>0</v>
          </cell>
          <cell r="CS9">
            <v>0</v>
          </cell>
          <cell r="CY9">
            <v>0</v>
          </cell>
          <cell r="DY9">
            <v>0</v>
          </cell>
          <cell r="DZ9">
            <v>0</v>
          </cell>
          <cell r="EA9">
            <v>0</v>
          </cell>
        </row>
        <row r="10">
          <cell r="CH10">
            <v>26000</v>
          </cell>
        </row>
      </sheetData>
      <sheetData sheetId="40">
        <row r="7">
          <cell r="BS7">
            <v>2300625.6</v>
          </cell>
          <cell r="BT7">
            <v>10000</v>
          </cell>
          <cell r="BU7">
            <v>694788.93119999999</v>
          </cell>
          <cell r="BW7">
            <v>0</v>
          </cell>
          <cell r="BY7">
            <v>10000</v>
          </cell>
          <cell r="BZ7">
            <v>21665.26</v>
          </cell>
          <cell r="CA7">
            <v>96050</v>
          </cell>
          <cell r="CB7">
            <v>171072</v>
          </cell>
          <cell r="CG7">
            <v>2442.96</v>
          </cell>
          <cell r="CL7">
            <v>10000</v>
          </cell>
          <cell r="CM7">
            <v>0</v>
          </cell>
          <cell r="CN7">
            <v>5000</v>
          </cell>
          <cell r="CQ7">
            <v>0</v>
          </cell>
          <cell r="CW7">
            <v>75000</v>
          </cell>
          <cell r="DA7">
            <v>0</v>
          </cell>
          <cell r="DK7">
            <v>72808.955999999991</v>
          </cell>
          <cell r="DL7">
            <v>0</v>
          </cell>
          <cell r="DO7">
            <v>5000</v>
          </cell>
          <cell r="DV7">
            <v>200000</v>
          </cell>
          <cell r="EA7">
            <v>0</v>
          </cell>
          <cell r="EB7">
            <v>0</v>
          </cell>
          <cell r="EC7">
            <v>0</v>
          </cell>
          <cell r="EG7">
            <v>25000</v>
          </cell>
          <cell r="EJ7">
            <v>15000</v>
          </cell>
        </row>
        <row r="8">
          <cell r="CV8">
            <v>15000</v>
          </cell>
        </row>
      </sheetData>
      <sheetData sheetId="41">
        <row r="6">
          <cell r="BS6">
            <v>1745583.345</v>
          </cell>
          <cell r="BT6">
            <v>16500</v>
          </cell>
          <cell r="BU6">
            <v>527166.17018999998</v>
          </cell>
          <cell r="BW6">
            <v>0</v>
          </cell>
          <cell r="BY6">
            <v>16500</v>
          </cell>
          <cell r="BZ6">
            <v>23446.04</v>
          </cell>
          <cell r="CA6">
            <v>0</v>
          </cell>
          <cell r="CB6">
            <v>0</v>
          </cell>
          <cell r="CG6">
            <v>8143.2000000000007</v>
          </cell>
          <cell r="CL6">
            <v>16500</v>
          </cell>
          <cell r="CM6">
            <v>0</v>
          </cell>
          <cell r="CN6">
            <v>5000</v>
          </cell>
          <cell r="CQ6">
            <v>0</v>
          </cell>
          <cell r="CV6">
            <v>50000</v>
          </cell>
          <cell r="CY6">
            <v>17455.833449999998</v>
          </cell>
          <cell r="CZ6">
            <v>0</v>
          </cell>
          <cell r="DA6">
            <v>0</v>
          </cell>
          <cell r="DJ6">
            <v>2051000</v>
          </cell>
          <cell r="DL6">
            <v>0</v>
          </cell>
          <cell r="DM6">
            <v>1105.5153</v>
          </cell>
          <cell r="DP6">
            <v>5000</v>
          </cell>
          <cell r="DW6">
            <v>50000</v>
          </cell>
          <cell r="EB6">
            <v>0</v>
          </cell>
          <cell r="EC6">
            <v>0</v>
          </cell>
          <cell r="ED6">
            <v>0</v>
          </cell>
          <cell r="EH6">
            <v>50000</v>
          </cell>
        </row>
        <row r="7">
          <cell r="BS7">
            <v>544383.75</v>
          </cell>
          <cell r="BT7">
            <v>6000</v>
          </cell>
          <cell r="BU7">
            <v>164403.89249999999</v>
          </cell>
          <cell r="BY7">
            <v>6000</v>
          </cell>
          <cell r="BZ7">
            <v>0</v>
          </cell>
          <cell r="CA7">
            <v>0</v>
          </cell>
          <cell r="CB7">
            <v>0</v>
          </cell>
          <cell r="CL7">
            <v>6000</v>
          </cell>
          <cell r="CY7">
            <v>0</v>
          </cell>
          <cell r="DW7">
            <v>30000</v>
          </cell>
          <cell r="EH7">
            <v>30212</v>
          </cell>
        </row>
        <row r="8">
          <cell r="CV8">
            <v>80000</v>
          </cell>
        </row>
        <row r="9">
          <cell r="CJ9">
            <v>0</v>
          </cell>
        </row>
      </sheetData>
      <sheetData sheetId="42">
        <row r="7">
          <cell r="BS7">
            <v>1528440</v>
          </cell>
          <cell r="BT7">
            <v>4800</v>
          </cell>
          <cell r="BU7">
            <v>461588.88</v>
          </cell>
          <cell r="BW7">
            <v>45092</v>
          </cell>
          <cell r="BZ7">
            <v>0</v>
          </cell>
          <cell r="CA7">
            <v>0</v>
          </cell>
          <cell r="CB7">
            <v>0</v>
          </cell>
          <cell r="CC7">
            <v>101606</v>
          </cell>
          <cell r="CE7">
            <v>0</v>
          </cell>
          <cell r="CH7">
            <v>2850.1200000000003</v>
          </cell>
          <cell r="CI7">
            <v>12000</v>
          </cell>
          <cell r="CM7">
            <v>6000</v>
          </cell>
          <cell r="CN7">
            <v>0</v>
          </cell>
          <cell r="CO7">
            <v>5000</v>
          </cell>
          <cell r="CR7">
            <v>0</v>
          </cell>
          <cell r="CX7">
            <v>149892</v>
          </cell>
          <cell r="DA7">
            <v>13000</v>
          </cell>
          <cell r="DB7">
            <v>0</v>
          </cell>
          <cell r="DL7">
            <v>0</v>
          </cell>
          <cell r="DM7">
            <v>0</v>
          </cell>
          <cell r="DN7">
            <v>15000</v>
          </cell>
          <cell r="DP7">
            <v>5000</v>
          </cell>
          <cell r="DW7">
            <v>80000</v>
          </cell>
          <cell r="EB7">
            <v>0</v>
          </cell>
          <cell r="EC7">
            <v>0</v>
          </cell>
          <cell r="ED7">
            <v>141640</v>
          </cell>
          <cell r="EH7">
            <v>75000</v>
          </cell>
          <cell r="EI7">
            <v>75000</v>
          </cell>
        </row>
      </sheetData>
      <sheetData sheetId="43">
        <row r="7">
          <cell r="BS7">
            <v>4397170.8000000007</v>
          </cell>
          <cell r="BU7">
            <v>1327945.5816000002</v>
          </cell>
          <cell r="BV7">
            <v>6000</v>
          </cell>
          <cell r="BW7">
            <v>0</v>
          </cell>
          <cell r="BZ7">
            <v>57888.800000000003</v>
          </cell>
          <cell r="CA7">
            <v>373460</v>
          </cell>
          <cell r="CB7">
            <v>157968</v>
          </cell>
          <cell r="CG7">
            <v>6921.72</v>
          </cell>
          <cell r="CI7">
            <v>17600</v>
          </cell>
          <cell r="CM7">
            <v>0</v>
          </cell>
          <cell r="CN7">
            <v>5000</v>
          </cell>
          <cell r="CP7">
            <v>8000</v>
          </cell>
          <cell r="CQ7">
            <v>0</v>
          </cell>
          <cell r="CT7">
            <v>9000</v>
          </cell>
          <cell r="DA7">
            <v>0</v>
          </cell>
          <cell r="DK7">
            <v>1102424.334</v>
          </cell>
          <cell r="DL7">
            <v>18315.78</v>
          </cell>
          <cell r="DO7">
            <v>5000</v>
          </cell>
          <cell r="DV7">
            <v>80000</v>
          </cell>
          <cell r="EA7">
            <v>0</v>
          </cell>
          <cell r="EB7">
            <v>0</v>
          </cell>
          <cell r="EC7">
            <v>0</v>
          </cell>
          <cell r="EF7">
            <v>80000</v>
          </cell>
          <cell r="EG7">
            <v>70000</v>
          </cell>
        </row>
        <row r="9">
          <cell r="CJ9">
            <v>0</v>
          </cell>
        </row>
      </sheetData>
      <sheetData sheetId="44">
        <row r="6">
          <cell r="BO6">
            <v>4365250.74</v>
          </cell>
          <cell r="BP6">
            <v>5000</v>
          </cell>
          <cell r="BQ6">
            <v>1318305.7234800002</v>
          </cell>
          <cell r="BS6">
            <v>60000</v>
          </cell>
          <cell r="BU6">
            <v>10000</v>
          </cell>
          <cell r="BV6">
            <v>0</v>
          </cell>
          <cell r="BW6">
            <v>0</v>
          </cell>
          <cell r="BX6">
            <v>0</v>
          </cell>
          <cell r="CC6">
            <v>0</v>
          </cell>
          <cell r="CF6">
            <v>19500</v>
          </cell>
          <cell r="CH6">
            <v>20000</v>
          </cell>
          <cell r="CI6">
            <v>0</v>
          </cell>
          <cell r="CM6">
            <v>0</v>
          </cell>
          <cell r="CS6">
            <v>250000</v>
          </cell>
          <cell r="CU6">
            <v>43652.507400000002</v>
          </cell>
          <cell r="CW6">
            <v>0</v>
          </cell>
          <cell r="DH6">
            <v>0</v>
          </cell>
          <cell r="DI6">
            <v>0</v>
          </cell>
          <cell r="DS6">
            <v>135100</v>
          </cell>
          <cell r="DX6">
            <v>0</v>
          </cell>
          <cell r="DY6">
            <v>0</v>
          </cell>
          <cell r="DZ6">
            <v>0</v>
          </cell>
          <cell r="ED6">
            <v>150000</v>
          </cell>
        </row>
        <row r="8">
          <cell r="DE8">
            <v>4603400</v>
          </cell>
        </row>
        <row r="9">
          <cell r="DE9">
            <v>90000.000000000029</v>
          </cell>
        </row>
        <row r="10">
          <cell r="A10" t="str">
            <v>Переданные полномочия поселений (Дорожная деятельность)</v>
          </cell>
          <cell r="DE10">
            <v>1979999.5139376419</v>
          </cell>
        </row>
        <row r="11">
          <cell r="DE11">
            <v>90000.000000000029</v>
          </cell>
        </row>
        <row r="12">
          <cell r="DE12">
            <v>4950000.0000000009</v>
          </cell>
        </row>
        <row r="13">
          <cell r="DE13">
            <v>1890000.0000000002</v>
          </cell>
        </row>
        <row r="14">
          <cell r="DE14">
            <v>0</v>
          </cell>
        </row>
        <row r="16">
          <cell r="DE16">
            <v>0</v>
          </cell>
        </row>
        <row r="17">
          <cell r="DE17">
            <v>0</v>
          </cell>
        </row>
        <row r="18">
          <cell r="DE18">
            <v>0</v>
          </cell>
        </row>
        <row r="20">
          <cell r="DE20">
            <v>0</v>
          </cell>
        </row>
        <row r="21">
          <cell r="A21" t="str">
            <v xml:space="preserve">Персонифицированное финансирование </v>
          </cell>
          <cell r="DC21">
            <v>11271111</v>
          </cell>
        </row>
        <row r="22">
          <cell r="A22" t="str">
            <v>Персонифицированное финансирование (Гранты)</v>
          </cell>
          <cell r="DD22">
            <v>62448</v>
          </cell>
        </row>
        <row r="23">
          <cell r="A23" t="str">
            <v>Персонифицированное финансирование (Гранты)</v>
          </cell>
          <cell r="DD23">
            <v>62447</v>
          </cell>
        </row>
        <row r="24">
          <cell r="A24" t="str">
            <v>Персонифицированное финансирование (Гранты)</v>
          </cell>
          <cell r="DD24">
            <v>62447</v>
          </cell>
        </row>
        <row r="25">
          <cell r="A25" t="str">
            <v>Персонифицированное финансирование (Гранты)</v>
          </cell>
          <cell r="DD25">
            <v>62447</v>
          </cell>
        </row>
        <row r="26">
          <cell r="DE26">
            <v>115348999.99999996</v>
          </cell>
        </row>
        <row r="28">
          <cell r="DE28">
            <v>0</v>
          </cell>
        </row>
        <row r="29">
          <cell r="DE29">
            <v>0</v>
          </cell>
        </row>
        <row r="30">
          <cell r="CF30">
            <v>19500</v>
          </cell>
        </row>
      </sheetData>
      <sheetData sheetId="45">
        <row r="6">
          <cell r="BS6">
            <v>2389398.21</v>
          </cell>
          <cell r="BT6">
            <v>20000</v>
          </cell>
          <cell r="BU6">
            <v>721598.25942000002</v>
          </cell>
          <cell r="BW6">
            <v>13392</v>
          </cell>
          <cell r="BY6">
            <v>20000</v>
          </cell>
          <cell r="BZ6">
            <v>0</v>
          </cell>
          <cell r="CA6">
            <v>0</v>
          </cell>
          <cell r="CB6">
            <v>0</v>
          </cell>
          <cell r="CG6">
            <v>3257.28</v>
          </cell>
          <cell r="CH6">
            <v>12000</v>
          </cell>
          <cell r="CL6">
            <v>20000</v>
          </cell>
          <cell r="CM6">
            <v>0</v>
          </cell>
          <cell r="CN6">
            <v>5000</v>
          </cell>
          <cell r="CQ6">
            <v>0</v>
          </cell>
          <cell r="CY6">
            <v>23893.982100000001</v>
          </cell>
          <cell r="CZ6">
            <v>13000</v>
          </cell>
          <cell r="DA6">
            <v>0</v>
          </cell>
          <cell r="DL6">
            <v>0</v>
          </cell>
          <cell r="DM6">
            <v>0</v>
          </cell>
          <cell r="DN6">
            <v>15000</v>
          </cell>
          <cell r="DP6">
            <v>5000</v>
          </cell>
          <cell r="EB6">
            <v>0</v>
          </cell>
          <cell r="EC6">
            <v>0</v>
          </cell>
          <cell r="ED6">
            <v>144820</v>
          </cell>
          <cell r="EH6">
            <v>45000</v>
          </cell>
          <cell r="EI6">
            <v>55000</v>
          </cell>
        </row>
      </sheetData>
      <sheetData sheetId="46">
        <row r="7">
          <cell r="AY7">
            <v>7143351.493710001</v>
          </cell>
          <cell r="BA7">
            <v>1394802.6</v>
          </cell>
          <cell r="BF7">
            <v>0</v>
          </cell>
          <cell r="BP7">
            <v>20000</v>
          </cell>
          <cell r="BS7">
            <v>5463403.6050000004</v>
          </cell>
          <cell r="BT7">
            <v>10000</v>
          </cell>
          <cell r="BU7">
            <v>1649947.8887100003</v>
          </cell>
          <cell r="BV7">
            <v>6000</v>
          </cell>
          <cell r="BW7">
            <v>578604</v>
          </cell>
          <cell r="BY7">
            <v>10000</v>
          </cell>
          <cell r="BZ7">
            <v>0</v>
          </cell>
          <cell r="CA7">
            <v>0</v>
          </cell>
          <cell r="CB7">
            <v>46800</v>
          </cell>
          <cell r="CG7">
            <v>2035.8000000000002</v>
          </cell>
          <cell r="CH7">
            <v>12000</v>
          </cell>
          <cell r="CL7">
            <v>10000</v>
          </cell>
          <cell r="CM7">
            <v>5000</v>
          </cell>
          <cell r="CP7">
            <v>0</v>
          </cell>
          <cell r="CY7">
            <v>13000</v>
          </cell>
          <cell r="CZ7">
            <v>0</v>
          </cell>
          <cell r="DJ7">
            <v>0</v>
          </cell>
          <cell r="DK7">
            <v>0</v>
          </cell>
          <cell r="DL7">
            <v>15000</v>
          </cell>
          <cell r="DN7">
            <v>5000</v>
          </cell>
          <cell r="DS7">
            <v>395000</v>
          </cell>
          <cell r="DU7">
            <v>30000</v>
          </cell>
          <cell r="DZ7">
            <v>306000</v>
          </cell>
          <cell r="EA7">
            <v>22800</v>
          </cell>
          <cell r="EB7">
            <v>116130</v>
          </cell>
          <cell r="EF7">
            <v>50000</v>
          </cell>
          <cell r="EG7">
            <v>25000</v>
          </cell>
        </row>
        <row r="8">
          <cell r="AY8">
            <v>0</v>
          </cell>
          <cell r="BA8">
            <v>450000</v>
          </cell>
          <cell r="BP8">
            <v>0</v>
          </cell>
          <cell r="BT8">
            <v>0</v>
          </cell>
          <cell r="BW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G8">
            <v>0</v>
          </cell>
          <cell r="CL8">
            <v>0</v>
          </cell>
          <cell r="CP8">
            <v>0</v>
          </cell>
          <cell r="CV8">
            <v>450000</v>
          </cell>
          <cell r="CZ8">
            <v>0</v>
          </cell>
          <cell r="DZ8">
            <v>0</v>
          </cell>
          <cell r="EA8">
            <v>0</v>
          </cell>
          <cell r="EB8">
            <v>0</v>
          </cell>
        </row>
      </sheetData>
      <sheetData sheetId="47">
        <row r="6">
          <cell r="DE6">
            <v>15000</v>
          </cell>
          <cell r="DF6">
            <v>3000</v>
          </cell>
          <cell r="DG6">
            <v>3000</v>
          </cell>
          <cell r="DP6">
            <v>8197555.1035023034</v>
          </cell>
          <cell r="DQ6">
            <v>0</v>
          </cell>
        </row>
        <row r="7">
          <cell r="DE7">
            <v>20000</v>
          </cell>
          <cell r="DF7">
            <v>3000</v>
          </cell>
          <cell r="DG7">
            <v>3000</v>
          </cell>
          <cell r="DP7">
            <v>9264938.5656807199</v>
          </cell>
          <cell r="DQ7">
            <v>0</v>
          </cell>
        </row>
        <row r="8">
          <cell r="DE8">
            <v>18000</v>
          </cell>
          <cell r="DF8">
            <v>3000</v>
          </cell>
          <cell r="DG8">
            <v>3000</v>
          </cell>
          <cell r="DP8">
            <v>20316550.190638825</v>
          </cell>
          <cell r="DQ8">
            <v>0</v>
          </cell>
        </row>
        <row r="9">
          <cell r="DE9">
            <v>15000</v>
          </cell>
          <cell r="DF9">
            <v>3000</v>
          </cell>
          <cell r="DG9">
            <v>3000</v>
          </cell>
          <cell r="DP9">
            <v>7714407.1335819624</v>
          </cell>
          <cell r="DQ9">
            <v>0</v>
          </cell>
        </row>
        <row r="10">
          <cell r="DF10">
            <v>3000</v>
          </cell>
          <cell r="DP10">
            <v>14979734.006596187</v>
          </cell>
          <cell r="DQ10">
            <v>51475.724999999999</v>
          </cell>
        </row>
        <row r="11">
          <cell r="CS11">
            <v>0</v>
          </cell>
          <cell r="DE11">
            <v>68000</v>
          </cell>
          <cell r="DF11">
            <v>15000</v>
          </cell>
          <cell r="DG11">
            <v>15000</v>
          </cell>
          <cell r="DL11">
            <v>0</v>
          </cell>
          <cell r="DM11">
            <v>0</v>
          </cell>
          <cell r="DN11">
            <v>0</v>
          </cell>
          <cell r="EH11">
            <v>0</v>
          </cell>
        </row>
      </sheetData>
      <sheetData sheetId="48"/>
      <sheetData sheetId="49">
        <row r="6">
          <cell r="DJ6">
            <v>3393525.6</v>
          </cell>
          <cell r="DK6">
            <v>0</v>
          </cell>
        </row>
        <row r="9">
          <cell r="CN9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>
        <row r="2">
          <cell r="B2">
            <v>5509863.1641292125</v>
          </cell>
        </row>
        <row r="3">
          <cell r="B3">
            <v>12212949.819543391</v>
          </cell>
        </row>
        <row r="4">
          <cell r="B4">
            <v>9498684.8175280951</v>
          </cell>
        </row>
        <row r="5">
          <cell r="B5">
            <v>3313618.1445202222</v>
          </cell>
        </row>
        <row r="6">
          <cell r="B6">
            <v>16980805.346341044</v>
          </cell>
        </row>
        <row r="7">
          <cell r="B7">
            <v>7218698.7623535795</v>
          </cell>
        </row>
        <row r="8">
          <cell r="B8">
            <v>6889874.7609811127</v>
          </cell>
        </row>
        <row r="9">
          <cell r="B9">
            <v>3818944.3090438056</v>
          </cell>
        </row>
        <row r="10">
          <cell r="B10">
            <v>4133551.000507406</v>
          </cell>
        </row>
        <row r="11">
          <cell r="B11">
            <v>3078378.9221990034</v>
          </cell>
        </row>
        <row r="12">
          <cell r="B12">
            <v>2468794.046613846</v>
          </cell>
        </row>
        <row r="13">
          <cell r="B13">
            <v>4457483.4568111096</v>
          </cell>
        </row>
        <row r="14">
          <cell r="B14">
            <v>7387792.4177460922</v>
          </cell>
        </row>
        <row r="15">
          <cell r="B15">
            <v>6389856.8687828546</v>
          </cell>
        </row>
        <row r="16">
          <cell r="B16">
            <v>3185866.8858819464</v>
          </cell>
        </row>
        <row r="17">
          <cell r="B17">
            <v>2944713.7230241951</v>
          </cell>
        </row>
        <row r="18">
          <cell r="B18">
            <v>6067506.3982936516</v>
          </cell>
        </row>
        <row r="19">
          <cell r="B19">
            <v>3563977.8417385318</v>
          </cell>
        </row>
        <row r="20">
          <cell r="B20">
            <v>3104676.2786522298</v>
          </cell>
        </row>
        <row r="21">
          <cell r="B21">
            <v>3122963.035308646</v>
          </cell>
        </row>
      </sheetData>
      <sheetData sheetId="196"/>
      <sheetData sheetId="197"/>
      <sheetData sheetId="198">
        <row r="31">
          <cell r="C31">
            <v>0</v>
          </cell>
          <cell r="D31">
            <v>0</v>
          </cell>
          <cell r="E31">
            <v>0</v>
          </cell>
        </row>
        <row r="47">
          <cell r="D47">
            <v>44019052</v>
          </cell>
          <cell r="E47">
            <v>45484838</v>
          </cell>
        </row>
      </sheetData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K149"/>
  <sheetViews>
    <sheetView view="pageBreakPreview" topLeftCell="A37" zoomScale="115" zoomScaleNormal="130" zoomScaleSheetLayoutView="115" workbookViewId="0">
      <selection activeCell="F63" sqref="F63"/>
    </sheetView>
  </sheetViews>
  <sheetFormatPr defaultColWidth="8.7109375" defaultRowHeight="12.75" x14ac:dyDescent="0.2"/>
  <cols>
    <col min="1" max="1" width="2.140625" customWidth="1"/>
    <col min="2" max="2" width="3.140625" customWidth="1"/>
    <col min="3" max="3" width="23.28515625" customWidth="1"/>
    <col min="4" max="4" width="48.140625" customWidth="1"/>
    <col min="5" max="5" width="15" customWidth="1"/>
    <col min="6" max="6" width="13.140625" customWidth="1"/>
    <col min="7" max="7" width="13.85546875" customWidth="1"/>
  </cols>
  <sheetData>
    <row r="2" spans="2:11" s="21" customFormat="1" x14ac:dyDescent="0.2">
      <c r="D2" s="358" t="s">
        <v>770</v>
      </c>
      <c r="E2" s="358"/>
      <c r="F2" s="358"/>
      <c r="G2" s="358"/>
    </row>
    <row r="3" spans="2:11" s="21" customFormat="1" x14ac:dyDescent="0.2">
      <c r="D3" s="358" t="s">
        <v>80</v>
      </c>
      <c r="E3" s="358"/>
      <c r="F3" s="358"/>
      <c r="G3" s="358"/>
    </row>
    <row r="4" spans="2:11" s="21" customFormat="1" x14ac:dyDescent="0.2">
      <c r="C4" s="358" t="s">
        <v>862</v>
      </c>
      <c r="D4" s="358"/>
      <c r="E4" s="358"/>
      <c r="F4" s="358"/>
      <c r="G4" s="358"/>
    </row>
    <row r="5" spans="2:11" s="21" customFormat="1" ht="15.75" x14ac:dyDescent="0.25">
      <c r="B5" s="359" t="s">
        <v>107</v>
      </c>
      <c r="C5" s="359"/>
      <c r="D5" s="359"/>
      <c r="E5" s="359"/>
      <c r="F5" s="359"/>
      <c r="G5" s="359"/>
    </row>
    <row r="6" spans="2:11" s="21" customFormat="1" ht="15.75" x14ac:dyDescent="0.25">
      <c r="B6" s="359" t="s">
        <v>771</v>
      </c>
      <c r="C6" s="359"/>
      <c r="D6" s="359"/>
      <c r="E6" s="359"/>
      <c r="F6" s="359"/>
      <c r="G6" s="359"/>
    </row>
    <row r="7" spans="2:11" s="21" customFormat="1" x14ac:dyDescent="0.2">
      <c r="C7" s="360" t="s">
        <v>33</v>
      </c>
      <c r="D7" s="360"/>
      <c r="E7" s="360"/>
    </row>
    <row r="8" spans="2:11" s="21" customFormat="1" x14ac:dyDescent="0.2">
      <c r="C8" s="173"/>
      <c r="D8" s="173"/>
      <c r="E8" s="361" t="s">
        <v>300</v>
      </c>
      <c r="F8" s="361"/>
      <c r="G8" s="361"/>
    </row>
    <row r="9" spans="2:11" s="21" customFormat="1" x14ac:dyDescent="0.2">
      <c r="B9" s="362" t="s">
        <v>45</v>
      </c>
      <c r="C9" s="362" t="s">
        <v>98</v>
      </c>
      <c r="D9" s="363" t="s">
        <v>58</v>
      </c>
      <c r="E9" s="364" t="s">
        <v>156</v>
      </c>
      <c r="F9" s="364"/>
      <c r="G9" s="364"/>
    </row>
    <row r="10" spans="2:11" s="21" customFormat="1" x14ac:dyDescent="0.2">
      <c r="B10" s="362"/>
      <c r="C10" s="362"/>
      <c r="D10" s="363"/>
      <c r="E10" s="162" t="s">
        <v>461</v>
      </c>
      <c r="F10" s="162" t="s">
        <v>487</v>
      </c>
      <c r="G10" s="162" t="s">
        <v>772</v>
      </c>
    </row>
    <row r="11" spans="2:11" s="21" customFormat="1" ht="15" x14ac:dyDescent="0.25">
      <c r="B11" s="26">
        <v>1</v>
      </c>
      <c r="C11" s="26" t="s">
        <v>185</v>
      </c>
      <c r="D11" s="70" t="s">
        <v>99</v>
      </c>
      <c r="E11" s="314">
        <v>116200</v>
      </c>
      <c r="F11" s="314">
        <v>99300</v>
      </c>
      <c r="G11" s="314">
        <v>99300</v>
      </c>
      <c r="K11" s="21" t="s">
        <v>33</v>
      </c>
    </row>
    <row r="12" spans="2:11" s="21" customFormat="1" ht="15" x14ac:dyDescent="0.25">
      <c r="B12" s="26">
        <v>2</v>
      </c>
      <c r="C12" s="26" t="s">
        <v>199</v>
      </c>
      <c r="D12" s="70" t="s">
        <v>100</v>
      </c>
      <c r="E12" s="314">
        <v>210</v>
      </c>
      <c r="F12" s="314">
        <v>165</v>
      </c>
      <c r="G12" s="314">
        <v>165</v>
      </c>
    </row>
    <row r="13" spans="2:11" s="21" customFormat="1" ht="15" x14ac:dyDescent="0.25">
      <c r="B13" s="26">
        <v>3</v>
      </c>
      <c r="C13" s="26" t="s">
        <v>198</v>
      </c>
      <c r="D13" s="70" t="s">
        <v>84</v>
      </c>
      <c r="E13" s="314">
        <v>1750</v>
      </c>
      <c r="F13" s="314">
        <v>1650</v>
      </c>
      <c r="G13" s="314">
        <v>1650</v>
      </c>
      <c r="K13" s="21" t="s">
        <v>289</v>
      </c>
    </row>
    <row r="14" spans="2:11" s="21" customFormat="1" ht="15" x14ac:dyDescent="0.25">
      <c r="B14" s="26">
        <v>4</v>
      </c>
      <c r="C14" s="26" t="s">
        <v>184</v>
      </c>
      <c r="D14" s="70" t="s">
        <v>628</v>
      </c>
      <c r="E14" s="314">
        <v>42011.726000000002</v>
      </c>
      <c r="F14" s="314">
        <v>44917.4</v>
      </c>
      <c r="G14" s="314">
        <v>46413.1</v>
      </c>
    </row>
    <row r="15" spans="2:11" s="21" customFormat="1" ht="15" x14ac:dyDescent="0.25">
      <c r="B15" s="26">
        <v>5</v>
      </c>
      <c r="C15" s="26" t="s">
        <v>293</v>
      </c>
      <c r="D15" s="70" t="s">
        <v>248</v>
      </c>
      <c r="E15" s="314">
        <v>16700</v>
      </c>
      <c r="F15" s="314">
        <v>13608</v>
      </c>
      <c r="G15" s="314">
        <v>13608</v>
      </c>
    </row>
    <row r="16" spans="2:11" s="21" customFormat="1" ht="24" x14ac:dyDescent="0.25">
      <c r="B16" s="26">
        <v>6</v>
      </c>
      <c r="C16" s="26" t="s">
        <v>455</v>
      </c>
      <c r="D16" s="70" t="s">
        <v>456</v>
      </c>
      <c r="E16" s="314">
        <v>180</v>
      </c>
      <c r="F16" s="314">
        <v>50</v>
      </c>
      <c r="G16" s="314">
        <v>50</v>
      </c>
    </row>
    <row r="17" spans="2:9" s="21" customFormat="1" x14ac:dyDescent="0.2">
      <c r="B17" s="26"/>
      <c r="C17" s="26"/>
      <c r="D17" s="174" t="s">
        <v>119</v>
      </c>
      <c r="E17" s="315">
        <f>SUM(E18:E26)</f>
        <v>5350.8</v>
      </c>
      <c r="F17" s="315">
        <f>SUM(F18:F25)</f>
        <v>5350.8</v>
      </c>
      <c r="G17" s="315">
        <f>SUM(G18:G25)</f>
        <v>5350.8</v>
      </c>
      <c r="I17" s="21" t="s">
        <v>33</v>
      </c>
    </row>
    <row r="18" spans="2:9" s="21" customFormat="1" ht="25.5" x14ac:dyDescent="0.25">
      <c r="B18" s="26">
        <v>7</v>
      </c>
      <c r="C18" s="26" t="s">
        <v>287</v>
      </c>
      <c r="D18" s="175" t="s">
        <v>457</v>
      </c>
      <c r="E18" s="314">
        <v>53</v>
      </c>
      <c r="F18" s="314">
        <v>53</v>
      </c>
      <c r="G18" s="314">
        <v>53</v>
      </c>
    </row>
    <row r="19" spans="2:9" s="21" customFormat="1" ht="36.75" customHeight="1" x14ac:dyDescent="0.25">
      <c r="B19" s="26">
        <v>8</v>
      </c>
      <c r="C19" s="26" t="s">
        <v>459</v>
      </c>
      <c r="D19" s="175" t="s">
        <v>458</v>
      </c>
      <c r="E19" s="314">
        <v>350</v>
      </c>
      <c r="F19" s="314">
        <v>350</v>
      </c>
      <c r="G19" s="314">
        <v>350</v>
      </c>
    </row>
    <row r="20" spans="2:9" s="21" customFormat="1" ht="77.25" customHeight="1" x14ac:dyDescent="0.25">
      <c r="B20" s="26">
        <v>9</v>
      </c>
      <c r="C20" s="26" t="s">
        <v>773</v>
      </c>
      <c r="D20" s="175" t="s">
        <v>774</v>
      </c>
      <c r="E20" s="314">
        <v>15.8</v>
      </c>
      <c r="F20" s="314">
        <v>15.8</v>
      </c>
      <c r="G20" s="314">
        <v>15.8</v>
      </c>
    </row>
    <row r="21" spans="2:9" s="21" customFormat="1" ht="75.75" customHeight="1" x14ac:dyDescent="0.25">
      <c r="B21" s="26">
        <v>10</v>
      </c>
      <c r="C21" s="26" t="s">
        <v>775</v>
      </c>
      <c r="D21" s="175" t="s">
        <v>776</v>
      </c>
      <c r="E21" s="314">
        <v>270</v>
      </c>
      <c r="F21" s="314">
        <v>270</v>
      </c>
      <c r="G21" s="314">
        <v>270</v>
      </c>
    </row>
    <row r="22" spans="2:9" s="21" customFormat="1" ht="78.75" customHeight="1" x14ac:dyDescent="0.25">
      <c r="B22" s="26">
        <v>11</v>
      </c>
      <c r="C22" s="26" t="s">
        <v>777</v>
      </c>
      <c r="D22" s="175" t="s">
        <v>778</v>
      </c>
      <c r="E22" s="314">
        <v>214</v>
      </c>
      <c r="F22" s="314">
        <v>214</v>
      </c>
      <c r="G22" s="314">
        <v>214</v>
      </c>
    </row>
    <row r="23" spans="2:9" s="21" customFormat="1" ht="60.75" customHeight="1" x14ac:dyDescent="0.25">
      <c r="B23" s="26">
        <v>12</v>
      </c>
      <c r="C23" s="26" t="s">
        <v>779</v>
      </c>
      <c r="D23" s="175" t="s">
        <v>780</v>
      </c>
      <c r="E23" s="314">
        <v>3</v>
      </c>
      <c r="F23" s="314">
        <v>3</v>
      </c>
      <c r="G23" s="314">
        <v>3</v>
      </c>
    </row>
    <row r="24" spans="2:9" s="21" customFormat="1" ht="15" x14ac:dyDescent="0.25">
      <c r="B24" s="26">
        <v>9</v>
      </c>
      <c r="C24" s="26" t="s">
        <v>282</v>
      </c>
      <c r="D24" s="175" t="s">
        <v>101</v>
      </c>
      <c r="E24" s="314">
        <v>4400</v>
      </c>
      <c r="F24" s="314">
        <v>4400</v>
      </c>
      <c r="G24" s="314">
        <v>4400</v>
      </c>
    </row>
    <row r="25" spans="2:9" s="21" customFormat="1" ht="15" x14ac:dyDescent="0.25">
      <c r="B25" s="26">
        <v>10</v>
      </c>
      <c r="C25" s="26" t="s">
        <v>186</v>
      </c>
      <c r="D25" s="175" t="s">
        <v>624</v>
      </c>
      <c r="E25" s="314">
        <v>45</v>
      </c>
      <c r="F25" s="314">
        <v>45</v>
      </c>
      <c r="G25" s="314">
        <v>45</v>
      </c>
    </row>
    <row r="26" spans="2:9" s="21" customFormat="1" hidden="1" x14ac:dyDescent="0.2">
      <c r="B26" s="26"/>
      <c r="C26" s="26"/>
      <c r="D26" s="175"/>
      <c r="E26" s="316"/>
      <c r="F26" s="316"/>
      <c r="G26" s="316"/>
    </row>
    <row r="27" spans="2:9" s="21" customFormat="1" x14ac:dyDescent="0.2">
      <c r="B27" s="26"/>
      <c r="C27" s="26"/>
      <c r="D27" s="172" t="s">
        <v>102</v>
      </c>
      <c r="E27" s="315">
        <f>SUM(E11:E16,E17)</f>
        <v>182402.52599999998</v>
      </c>
      <c r="F27" s="315">
        <f>SUM(F11:F16,F17)</f>
        <v>165041.19999999998</v>
      </c>
      <c r="G27" s="315">
        <f>SUM(G11:G16,G17)</f>
        <v>166536.9</v>
      </c>
    </row>
    <row r="28" spans="2:9" s="21" customFormat="1" x14ac:dyDescent="0.2">
      <c r="B28" s="26"/>
      <c r="C28" s="26"/>
      <c r="D28" s="172" t="s">
        <v>340</v>
      </c>
      <c r="E28" s="317">
        <f>SUM(E30:E33)</f>
        <v>258700</v>
      </c>
      <c r="F28" s="317">
        <f>SUM(F30:F33)</f>
        <v>195062</v>
      </c>
      <c r="G28" s="317">
        <f>SUM(G30:G33)</f>
        <v>195062</v>
      </c>
    </row>
    <row r="29" spans="2:9" s="21" customFormat="1" x14ac:dyDescent="0.2">
      <c r="B29" s="26"/>
      <c r="C29" s="26"/>
      <c r="D29" s="65" t="s">
        <v>781</v>
      </c>
      <c r="E29" s="317"/>
      <c r="F29" s="318"/>
      <c r="G29" s="318"/>
    </row>
    <row r="30" spans="2:9" s="21" customFormat="1" x14ac:dyDescent="0.2">
      <c r="B30" s="26">
        <v>11</v>
      </c>
      <c r="C30" s="26" t="s">
        <v>413</v>
      </c>
      <c r="D30" s="44" t="s">
        <v>144</v>
      </c>
      <c r="E30" s="317">
        <v>258700</v>
      </c>
      <c r="F30" s="317">
        <v>195062</v>
      </c>
      <c r="G30" s="317">
        <v>195062</v>
      </c>
    </row>
    <row r="31" spans="2:9" s="21" customFormat="1" ht="76.5" hidden="1" x14ac:dyDescent="0.2">
      <c r="B31" s="26"/>
      <c r="C31" s="26"/>
      <c r="D31" s="176" t="s">
        <v>395</v>
      </c>
      <c r="E31" s="317"/>
      <c r="F31" s="317"/>
      <c r="G31" s="317"/>
    </row>
    <row r="32" spans="2:9" s="21" customFormat="1" hidden="1" x14ac:dyDescent="0.2">
      <c r="B32" s="26"/>
      <c r="C32" s="26"/>
      <c r="D32" s="177"/>
      <c r="E32" s="317"/>
      <c r="F32" s="318"/>
      <c r="G32" s="318"/>
    </row>
    <row r="33" spans="2:9" s="21" customFormat="1" hidden="1" x14ac:dyDescent="0.2">
      <c r="B33" s="26"/>
      <c r="C33" s="26"/>
      <c r="D33" s="178"/>
      <c r="E33" s="319"/>
      <c r="F33" s="318"/>
      <c r="G33" s="318"/>
    </row>
    <row r="34" spans="2:9" s="21" customFormat="1" x14ac:dyDescent="0.2">
      <c r="B34" s="26"/>
      <c r="C34" s="26"/>
      <c r="D34" s="172" t="s">
        <v>4</v>
      </c>
      <c r="E34" s="320">
        <f>SUM(E36:E43)</f>
        <v>68297.669909999997</v>
      </c>
      <c r="F34" s="317">
        <f>SUM(F36:F43)</f>
        <v>80874.024120000002</v>
      </c>
      <c r="G34" s="317">
        <f>SUM(G36:G43)</f>
        <v>132711.03613000002</v>
      </c>
    </row>
    <row r="35" spans="2:9" s="21" customFormat="1" x14ac:dyDescent="0.2">
      <c r="B35" s="26"/>
      <c r="C35" s="26"/>
      <c r="D35" s="65" t="s">
        <v>103</v>
      </c>
      <c r="E35" s="321"/>
      <c r="F35" s="316"/>
      <c r="G35" s="316"/>
      <c r="I35" s="21" t="s">
        <v>33</v>
      </c>
    </row>
    <row r="36" spans="2:9" s="21" customFormat="1" ht="25.5" x14ac:dyDescent="0.25">
      <c r="B36" s="26">
        <v>12</v>
      </c>
      <c r="C36" s="26" t="s">
        <v>412</v>
      </c>
      <c r="D36" s="179" t="s">
        <v>360</v>
      </c>
      <c r="E36" s="322">
        <v>20913.09</v>
      </c>
      <c r="F36" s="322">
        <v>0</v>
      </c>
      <c r="G36" s="322">
        <v>0</v>
      </c>
    </row>
    <row r="37" spans="2:9" s="21" customFormat="1" ht="25.5" x14ac:dyDescent="0.25">
      <c r="B37" s="26">
        <v>13</v>
      </c>
      <c r="C37" s="26" t="s">
        <v>411</v>
      </c>
      <c r="D37" s="180" t="s">
        <v>341</v>
      </c>
      <c r="E37" s="323">
        <v>32232.863280000001</v>
      </c>
      <c r="F37" s="322">
        <v>32232.863280000001</v>
      </c>
      <c r="G37" s="322">
        <v>32232.863280000001</v>
      </c>
    </row>
    <row r="38" spans="2:9" s="21" customFormat="1" ht="56.25" customHeight="1" x14ac:dyDescent="0.25">
      <c r="B38" s="26">
        <v>14</v>
      </c>
      <c r="C38" s="26" t="s">
        <v>411</v>
      </c>
      <c r="D38" s="180" t="s">
        <v>414</v>
      </c>
      <c r="E38" s="323">
        <v>953.80380000000002</v>
      </c>
      <c r="F38" s="322">
        <v>953.80380000000002</v>
      </c>
      <c r="G38" s="322">
        <v>953.80380000000002</v>
      </c>
    </row>
    <row r="39" spans="2:9" s="21" customFormat="1" ht="38.25" customHeight="1" x14ac:dyDescent="0.25">
      <c r="B39" s="26">
        <v>15</v>
      </c>
      <c r="C39" s="52" t="s">
        <v>747</v>
      </c>
      <c r="D39" s="180" t="s">
        <v>746</v>
      </c>
      <c r="E39" s="322">
        <v>13941.075999999999</v>
      </c>
      <c r="F39" s="322">
        <v>18659.13</v>
      </c>
      <c r="G39" s="324">
        <v>18987.477999999999</v>
      </c>
    </row>
    <row r="40" spans="2:9" s="21" customFormat="1" ht="15" x14ac:dyDescent="0.25">
      <c r="B40" s="26">
        <v>16</v>
      </c>
      <c r="C40" s="26" t="s">
        <v>713</v>
      </c>
      <c r="D40" s="180" t="s">
        <v>714</v>
      </c>
      <c r="E40" s="323">
        <v>0</v>
      </c>
      <c r="F40" s="322">
        <v>21771.052629999998</v>
      </c>
      <c r="G40" s="324">
        <v>80272.842109999998</v>
      </c>
    </row>
    <row r="41" spans="2:9" s="21" customFormat="1" ht="25.5" x14ac:dyDescent="0.25">
      <c r="B41" s="26">
        <v>17</v>
      </c>
      <c r="C41" s="26" t="s">
        <v>467</v>
      </c>
      <c r="D41" s="82" t="s">
        <v>468</v>
      </c>
      <c r="E41" s="323">
        <v>204.42083</v>
      </c>
      <c r="F41" s="322">
        <v>204.75841</v>
      </c>
      <c r="G41" s="322">
        <v>211.63293999999999</v>
      </c>
    </row>
    <row r="42" spans="2:9" s="21" customFormat="1" ht="51" x14ac:dyDescent="0.25">
      <c r="B42" s="26"/>
      <c r="C42" s="26" t="s">
        <v>782</v>
      </c>
      <c r="D42" s="82" t="s">
        <v>783</v>
      </c>
      <c r="E42" s="322">
        <v>0</v>
      </c>
      <c r="F42" s="322">
        <v>7000</v>
      </c>
      <c r="G42" s="322">
        <v>0</v>
      </c>
    </row>
    <row r="43" spans="2:9" s="21" customFormat="1" ht="15" x14ac:dyDescent="0.25">
      <c r="B43" s="26">
        <v>18</v>
      </c>
      <c r="C43" s="26" t="s">
        <v>411</v>
      </c>
      <c r="D43" s="180" t="s">
        <v>625</v>
      </c>
      <c r="E43" s="322">
        <v>52.415999999999997</v>
      </c>
      <c r="F43" s="322">
        <v>52.415999999999997</v>
      </c>
      <c r="G43" s="322">
        <v>52.415999999999997</v>
      </c>
    </row>
    <row r="44" spans="2:9" s="21" customFormat="1" x14ac:dyDescent="0.2">
      <c r="B44" s="26"/>
      <c r="C44" s="26"/>
      <c r="D44" s="172" t="s">
        <v>55</v>
      </c>
      <c r="E44" s="317">
        <f>SUM(E46:E60)</f>
        <v>867024.75300000003</v>
      </c>
      <c r="F44" s="317">
        <f>SUM(F46:F60)</f>
        <v>837185.26300000004</v>
      </c>
      <c r="G44" s="317">
        <f>SUM(G46:G60)</f>
        <v>838106.58499999996</v>
      </c>
    </row>
    <row r="45" spans="2:9" s="21" customFormat="1" x14ac:dyDescent="0.2">
      <c r="B45" s="26"/>
      <c r="C45" s="26"/>
      <c r="D45" s="325" t="s">
        <v>103</v>
      </c>
      <c r="E45" s="326"/>
      <c r="F45" s="318"/>
      <c r="G45" s="318"/>
    </row>
    <row r="46" spans="2:9" s="21" customFormat="1" ht="15" x14ac:dyDescent="0.25">
      <c r="B46" s="26">
        <v>19</v>
      </c>
      <c r="C46" s="26" t="s">
        <v>407</v>
      </c>
      <c r="D46" s="36" t="s">
        <v>301</v>
      </c>
      <c r="E46" s="322">
        <v>547571</v>
      </c>
      <c r="F46" s="322">
        <v>547571</v>
      </c>
      <c r="G46" s="322">
        <v>547571</v>
      </c>
    </row>
    <row r="47" spans="2:9" s="21" customFormat="1" ht="15" x14ac:dyDescent="0.25">
      <c r="B47" s="26">
        <v>20</v>
      </c>
      <c r="C47" s="26" t="s">
        <v>407</v>
      </c>
      <c r="D47" s="36" t="s">
        <v>302</v>
      </c>
      <c r="E47" s="322">
        <v>155553</v>
      </c>
      <c r="F47" s="322">
        <v>155553</v>
      </c>
      <c r="G47" s="322">
        <v>155553</v>
      </c>
    </row>
    <row r="48" spans="2:9" s="21" customFormat="1" ht="15" x14ac:dyDescent="0.25">
      <c r="B48" s="26">
        <v>21</v>
      </c>
      <c r="C48" s="26" t="s">
        <v>410</v>
      </c>
      <c r="D48" s="36" t="s">
        <v>396</v>
      </c>
      <c r="E48" s="322">
        <v>2051</v>
      </c>
      <c r="F48" s="322">
        <v>2123</v>
      </c>
      <c r="G48" s="322">
        <v>2207</v>
      </c>
      <c r="H48" s="21" t="s">
        <v>33</v>
      </c>
    </row>
    <row r="49" spans="2:7" s="21" customFormat="1" ht="15" x14ac:dyDescent="0.25">
      <c r="B49" s="26">
        <v>22</v>
      </c>
      <c r="C49" s="26" t="s">
        <v>409</v>
      </c>
      <c r="D49" s="327" t="s">
        <v>626</v>
      </c>
      <c r="E49" s="322">
        <v>1830</v>
      </c>
      <c r="F49" s="322">
        <v>1830</v>
      </c>
      <c r="G49" s="322">
        <v>1830</v>
      </c>
    </row>
    <row r="50" spans="2:7" s="21" customFormat="1" ht="33.75" x14ac:dyDescent="0.25">
      <c r="B50" s="26">
        <v>23</v>
      </c>
      <c r="C50" s="26" t="s">
        <v>405</v>
      </c>
      <c r="D50" s="58" t="s">
        <v>290</v>
      </c>
      <c r="E50" s="322">
        <v>1505.4</v>
      </c>
      <c r="F50" s="322">
        <v>1505.4</v>
      </c>
      <c r="G50" s="322">
        <v>1505.4</v>
      </c>
    </row>
    <row r="51" spans="2:7" s="21" customFormat="1" ht="15" x14ac:dyDescent="0.25">
      <c r="B51" s="26">
        <v>24</v>
      </c>
      <c r="C51" s="26" t="s">
        <v>411</v>
      </c>
      <c r="D51" s="58" t="s">
        <v>627</v>
      </c>
      <c r="E51" s="322">
        <v>200</v>
      </c>
      <c r="F51" s="322">
        <v>200</v>
      </c>
      <c r="G51" s="322">
        <v>200</v>
      </c>
    </row>
    <row r="52" spans="2:7" s="21" customFormat="1" ht="33.75" x14ac:dyDescent="0.25">
      <c r="B52" s="26">
        <v>25</v>
      </c>
      <c r="C52" s="26" t="s">
        <v>407</v>
      </c>
      <c r="D52" s="58" t="s">
        <v>342</v>
      </c>
      <c r="E52" s="322">
        <v>66.099999999999994</v>
      </c>
      <c r="F52" s="322">
        <v>66.099999999999994</v>
      </c>
      <c r="G52" s="322">
        <v>66.099999999999994</v>
      </c>
    </row>
    <row r="53" spans="2:7" s="21" customFormat="1" ht="33.75" x14ac:dyDescent="0.25">
      <c r="B53" s="26">
        <v>26</v>
      </c>
      <c r="C53" s="26" t="s">
        <v>446</v>
      </c>
      <c r="D53" s="58" t="s">
        <v>447</v>
      </c>
      <c r="E53" s="322">
        <v>34445.69</v>
      </c>
      <c r="F53" s="322">
        <v>34445.69</v>
      </c>
      <c r="G53" s="322">
        <v>34445.69</v>
      </c>
    </row>
    <row r="54" spans="2:7" s="21" customFormat="1" ht="37.5" customHeight="1" x14ac:dyDescent="0.25">
      <c r="B54" s="26">
        <v>27</v>
      </c>
      <c r="C54" s="26" t="s">
        <v>766</v>
      </c>
      <c r="D54" s="44" t="s">
        <v>715</v>
      </c>
      <c r="E54" s="322">
        <v>1879.2729999999999</v>
      </c>
      <c r="F54" s="322">
        <v>1879.2729999999999</v>
      </c>
      <c r="G54" s="322">
        <v>2189.165</v>
      </c>
    </row>
    <row r="55" spans="2:7" s="21" customFormat="1" ht="33.75" x14ac:dyDescent="0.25">
      <c r="B55" s="26">
        <v>28</v>
      </c>
      <c r="C55" s="26" t="s">
        <v>406</v>
      </c>
      <c r="D55" s="58" t="s">
        <v>57</v>
      </c>
      <c r="E55" s="322">
        <v>115349</v>
      </c>
      <c r="F55" s="322">
        <v>84943</v>
      </c>
      <c r="G55" s="322">
        <v>84943</v>
      </c>
    </row>
    <row r="56" spans="2:7" s="21" customFormat="1" ht="22.5" x14ac:dyDescent="0.25">
      <c r="B56" s="26">
        <v>29</v>
      </c>
      <c r="C56" s="26" t="s">
        <v>408</v>
      </c>
      <c r="D56" s="58" t="s">
        <v>346</v>
      </c>
      <c r="E56" s="322">
        <v>4603.3999999999996</v>
      </c>
      <c r="F56" s="322">
        <v>5076.3999999999996</v>
      </c>
      <c r="G56" s="322">
        <v>5560.6</v>
      </c>
    </row>
    <row r="57" spans="2:7" s="21" customFormat="1" ht="22.5" x14ac:dyDescent="0.25">
      <c r="B57" s="26">
        <v>30</v>
      </c>
      <c r="C57" s="26" t="s">
        <v>407</v>
      </c>
      <c r="D57" s="58" t="s">
        <v>343</v>
      </c>
      <c r="E57" s="322">
        <v>393</v>
      </c>
      <c r="F57" s="322">
        <v>393</v>
      </c>
      <c r="G57" s="322">
        <v>393</v>
      </c>
    </row>
    <row r="58" spans="2:7" s="21" customFormat="1" ht="22.5" x14ac:dyDescent="0.25">
      <c r="B58" s="26">
        <v>31</v>
      </c>
      <c r="C58" s="26" t="s">
        <v>407</v>
      </c>
      <c r="D58" s="58" t="s">
        <v>345</v>
      </c>
      <c r="E58" s="322">
        <v>787</v>
      </c>
      <c r="F58" s="322">
        <v>787</v>
      </c>
      <c r="G58" s="322">
        <v>787</v>
      </c>
    </row>
    <row r="59" spans="2:7" s="21" customFormat="1" ht="33.75" x14ac:dyDescent="0.25">
      <c r="B59" s="26">
        <v>32</v>
      </c>
      <c r="C59" s="26" t="s">
        <v>406</v>
      </c>
      <c r="D59" s="58" t="s">
        <v>344</v>
      </c>
      <c r="E59" s="322">
        <v>787</v>
      </c>
      <c r="F59" s="322">
        <v>787</v>
      </c>
      <c r="G59" s="322">
        <v>787</v>
      </c>
    </row>
    <row r="60" spans="2:7" s="21" customFormat="1" ht="33.75" x14ac:dyDescent="0.25">
      <c r="B60" s="26">
        <v>33</v>
      </c>
      <c r="C60" s="26" t="s">
        <v>405</v>
      </c>
      <c r="D60" s="58" t="s">
        <v>347</v>
      </c>
      <c r="E60" s="322">
        <v>3.89</v>
      </c>
      <c r="F60" s="322">
        <v>25.4</v>
      </c>
      <c r="G60" s="328">
        <v>68.63</v>
      </c>
    </row>
    <row r="61" spans="2:7" s="21" customFormat="1" x14ac:dyDescent="0.2">
      <c r="B61" s="26"/>
      <c r="C61" s="26"/>
      <c r="D61" s="329" t="s">
        <v>110</v>
      </c>
      <c r="E61" s="317">
        <f>E62</f>
        <v>0</v>
      </c>
      <c r="F61" s="317">
        <f>F62</f>
        <v>0</v>
      </c>
      <c r="G61" s="317">
        <f>G62</f>
        <v>0</v>
      </c>
    </row>
    <row r="62" spans="2:7" s="21" customFormat="1" ht="12" customHeight="1" x14ac:dyDescent="0.2">
      <c r="B62" s="26"/>
      <c r="C62" s="26"/>
      <c r="D62" s="58"/>
      <c r="E62" s="326"/>
      <c r="F62" s="318"/>
      <c r="G62" s="318"/>
    </row>
    <row r="63" spans="2:7" s="21" customFormat="1" x14ac:dyDescent="0.2">
      <c r="B63" s="26"/>
      <c r="C63" s="365" t="s">
        <v>130</v>
      </c>
      <c r="D63" s="366"/>
      <c r="E63" s="320">
        <f>SUM(E27,E28,E34,E44,E61)</f>
        <v>1376424.94891</v>
      </c>
      <c r="F63" s="320">
        <f>SUM(F27,F28,F34,F44,F61)</f>
        <v>1278162.4871199999</v>
      </c>
      <c r="G63" s="320">
        <f>SUM(G27,G28,G34,G44,G61)</f>
        <v>1332416.52113</v>
      </c>
    </row>
    <row r="64" spans="2:7" s="21" customFormat="1" x14ac:dyDescent="0.2"/>
    <row r="65" spans="5:7" s="21" customFormat="1" x14ac:dyDescent="0.2"/>
    <row r="66" spans="5:7" s="21" customFormat="1" x14ac:dyDescent="0.2">
      <c r="E66" s="299">
        <f>E63-'[1]ВСРБМР прил №2'!G316/1000</f>
        <v>3830.5</v>
      </c>
      <c r="F66" s="181"/>
      <c r="G66" s="182"/>
    </row>
    <row r="67" spans="5:7" s="21" customFormat="1" x14ac:dyDescent="0.2">
      <c r="E67" s="299">
        <f>E44-'[1]межбюд тран.№4'!B23</f>
        <v>0</v>
      </c>
    </row>
    <row r="68" spans="5:7" s="21" customFormat="1" x14ac:dyDescent="0.2">
      <c r="E68" s="300">
        <f>E63-E34-E28-E27-'[1]межбюд тран.№4'!B23</f>
        <v>0</v>
      </c>
    </row>
    <row r="69" spans="5:7" s="21" customFormat="1" x14ac:dyDescent="0.2"/>
    <row r="70" spans="5:7" s="21" customFormat="1" x14ac:dyDescent="0.2">
      <c r="E70" s="283"/>
    </row>
    <row r="71" spans="5:7" s="21" customFormat="1" x14ac:dyDescent="0.2"/>
    <row r="72" spans="5:7" s="21" customFormat="1" x14ac:dyDescent="0.2"/>
    <row r="73" spans="5:7" s="21" customFormat="1" x14ac:dyDescent="0.2"/>
    <row r="74" spans="5:7" s="21" customFormat="1" x14ac:dyDescent="0.2"/>
    <row r="75" spans="5:7" s="21" customFormat="1" x14ac:dyDescent="0.2"/>
    <row r="76" spans="5:7" s="21" customFormat="1" x14ac:dyDescent="0.2"/>
    <row r="77" spans="5:7" s="21" customFormat="1" x14ac:dyDescent="0.2"/>
    <row r="78" spans="5:7" s="21" customFormat="1" x14ac:dyDescent="0.2"/>
    <row r="79" spans="5:7" s="21" customFormat="1" x14ac:dyDescent="0.2"/>
    <row r="80" spans="5:7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  <row r="133" s="21" customFormat="1" x14ac:dyDescent="0.2"/>
    <row r="134" s="21" customFormat="1" x14ac:dyDescent="0.2"/>
    <row r="135" s="21" customFormat="1" x14ac:dyDescent="0.2"/>
    <row r="136" s="21" customFormat="1" x14ac:dyDescent="0.2"/>
    <row r="137" s="21" customFormat="1" x14ac:dyDescent="0.2"/>
    <row r="138" s="21" customFormat="1" x14ac:dyDescent="0.2"/>
    <row r="139" s="21" customFormat="1" x14ac:dyDescent="0.2"/>
    <row r="140" s="21" customFormat="1" x14ac:dyDescent="0.2"/>
    <row r="141" s="21" customFormat="1" x14ac:dyDescent="0.2"/>
    <row r="142" s="21" customFormat="1" x14ac:dyDescent="0.2"/>
    <row r="143" s="21" customFormat="1" x14ac:dyDescent="0.2"/>
    <row r="144" s="21" customFormat="1" x14ac:dyDescent="0.2"/>
    <row r="145" s="21" customFormat="1" x14ac:dyDescent="0.2"/>
    <row r="146" s="21" customFormat="1" x14ac:dyDescent="0.2"/>
    <row r="147" s="21" customFormat="1" x14ac:dyDescent="0.2"/>
    <row r="148" s="21" customFormat="1" x14ac:dyDescent="0.2"/>
    <row r="149" s="21" customFormat="1" x14ac:dyDescent="0.2"/>
  </sheetData>
  <mergeCells count="12">
    <mergeCell ref="C63:D63"/>
    <mergeCell ref="C7:E7"/>
    <mergeCell ref="E8:G8"/>
    <mergeCell ref="B9:B10"/>
    <mergeCell ref="C9:C10"/>
    <mergeCell ref="D9:D10"/>
    <mergeCell ref="E9:G9"/>
    <mergeCell ref="D2:G2"/>
    <mergeCell ref="D3:G3"/>
    <mergeCell ref="C4:G4"/>
    <mergeCell ref="B5:G5"/>
    <mergeCell ref="B6:G6"/>
  </mergeCells>
  <phoneticPr fontId="0" type="noConversion"/>
  <pageMargins left="0.78740157480314965" right="0.74803149606299213" top="0.27559055118110237" bottom="0.15748031496062992" header="0.23622047244094491" footer="0.15748031496062992"/>
  <pageSetup paperSize="9" scale="70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I18"/>
  <sheetViews>
    <sheetView zoomScaleNormal="100" workbookViewId="0">
      <selection activeCell="F21" sqref="F21"/>
    </sheetView>
  </sheetViews>
  <sheetFormatPr defaultColWidth="8.7109375" defaultRowHeight="31.5" customHeight="1" x14ac:dyDescent="0.2"/>
  <cols>
    <col min="1" max="1" width="3.85546875" style="21" customWidth="1"/>
    <col min="2" max="5" width="8.7109375" style="21"/>
    <col min="6" max="6" width="24" style="21" customWidth="1"/>
    <col min="7" max="7" width="12.85546875" style="21" customWidth="1"/>
    <col min="8" max="8" width="10" style="21" customWidth="1"/>
    <col min="9" max="9" width="11.140625" style="21" customWidth="1"/>
    <col min="10" max="16384" width="8.7109375" style="21"/>
  </cols>
  <sheetData>
    <row r="1" spans="1:9" ht="14.25" customHeight="1" x14ac:dyDescent="0.2">
      <c r="A1" s="428" t="s">
        <v>831</v>
      </c>
      <c r="B1" s="428"/>
      <c r="C1" s="428"/>
      <c r="D1" s="428"/>
      <c r="E1" s="428"/>
      <c r="F1" s="428"/>
      <c r="G1" s="428"/>
      <c r="H1" s="428"/>
      <c r="I1" s="428"/>
    </row>
    <row r="2" spans="1:9" ht="13.5" customHeight="1" x14ac:dyDescent="0.2">
      <c r="A2" s="429" t="s">
        <v>81</v>
      </c>
      <c r="B2" s="429"/>
      <c r="C2" s="429"/>
      <c r="D2" s="429"/>
      <c r="E2" s="429"/>
      <c r="F2" s="429"/>
      <c r="G2" s="429"/>
      <c r="H2" s="429"/>
      <c r="I2" s="429"/>
    </row>
    <row r="3" spans="1:9" ht="12" customHeight="1" x14ac:dyDescent="0.2">
      <c r="A3" s="358" t="s">
        <v>871</v>
      </c>
      <c r="B3" s="358"/>
      <c r="C3" s="358"/>
      <c r="D3" s="358"/>
      <c r="E3" s="358"/>
      <c r="F3" s="358"/>
      <c r="G3" s="358"/>
      <c r="H3" s="358"/>
      <c r="I3" s="358"/>
    </row>
    <row r="4" spans="1:9" ht="21.75" customHeight="1" x14ac:dyDescent="0.2">
      <c r="A4" s="392" t="s">
        <v>388</v>
      </c>
      <c r="B4" s="392"/>
      <c r="C4" s="392"/>
      <c r="D4" s="392"/>
      <c r="E4" s="392"/>
      <c r="F4" s="392"/>
      <c r="G4" s="392"/>
      <c r="H4" s="392"/>
      <c r="I4" s="392"/>
    </row>
    <row r="5" spans="1:9" ht="16.5" customHeight="1" x14ac:dyDescent="0.2">
      <c r="A5" s="392" t="s">
        <v>389</v>
      </c>
      <c r="B5" s="392"/>
      <c r="C5" s="392"/>
      <c r="D5" s="392"/>
      <c r="E5" s="392"/>
      <c r="F5" s="392"/>
      <c r="G5" s="392"/>
      <c r="H5" s="392"/>
      <c r="I5" s="392"/>
    </row>
    <row r="6" spans="1:9" ht="18.75" customHeight="1" x14ac:dyDescent="0.2">
      <c r="A6" s="392" t="s">
        <v>832</v>
      </c>
      <c r="B6" s="392"/>
      <c r="C6" s="392"/>
      <c r="D6" s="392"/>
      <c r="E6" s="392"/>
      <c r="F6" s="392"/>
      <c r="G6" s="392"/>
      <c r="H6" s="392"/>
      <c r="I6" s="392"/>
    </row>
    <row r="7" spans="1:9" ht="31.5" customHeight="1" x14ac:dyDescent="0.2">
      <c r="A7" s="423" t="s">
        <v>45</v>
      </c>
      <c r="B7" s="424" t="s">
        <v>209</v>
      </c>
      <c r="C7" s="424"/>
      <c r="D7" s="424"/>
      <c r="E7" s="424"/>
      <c r="F7" s="424"/>
      <c r="G7" s="364" t="s">
        <v>718</v>
      </c>
      <c r="H7" s="364"/>
      <c r="I7" s="364"/>
    </row>
    <row r="8" spans="1:9" ht="31.5" customHeight="1" x14ac:dyDescent="0.25">
      <c r="A8" s="423"/>
      <c r="B8" s="424"/>
      <c r="C8" s="424"/>
      <c r="D8" s="424"/>
      <c r="E8" s="424"/>
      <c r="F8" s="424"/>
      <c r="G8" s="169">
        <v>2024</v>
      </c>
      <c r="H8" s="66">
        <v>2025</v>
      </c>
      <c r="I8" s="66">
        <v>2026</v>
      </c>
    </row>
    <row r="9" spans="1:9" ht="31.5" customHeight="1" x14ac:dyDescent="0.2">
      <c r="A9" s="26"/>
      <c r="B9" s="364" t="s">
        <v>390</v>
      </c>
      <c r="C9" s="364"/>
      <c r="D9" s="364"/>
      <c r="E9" s="364"/>
      <c r="F9" s="364"/>
      <c r="G9" s="54">
        <f>SUM(G11)</f>
        <v>42011726</v>
      </c>
      <c r="H9" s="54">
        <f>SUM(H11)</f>
        <v>44917400</v>
      </c>
      <c r="I9" s="54">
        <f>SUM(I11)</f>
        <v>46413100</v>
      </c>
    </row>
    <row r="10" spans="1:9" ht="31.5" customHeight="1" x14ac:dyDescent="0.2">
      <c r="A10" s="26"/>
      <c r="B10" s="420" t="s">
        <v>103</v>
      </c>
      <c r="C10" s="421"/>
      <c r="D10" s="421"/>
      <c r="E10" s="421"/>
      <c r="F10" s="422"/>
      <c r="G10" s="52"/>
      <c r="H10" s="26"/>
      <c r="I10" s="26"/>
    </row>
    <row r="11" spans="1:9" ht="31.5" customHeight="1" x14ac:dyDescent="0.2">
      <c r="A11" s="34" t="s">
        <v>194</v>
      </c>
      <c r="B11" s="425" t="s">
        <v>391</v>
      </c>
      <c r="C11" s="426"/>
      <c r="D11" s="426"/>
      <c r="E11" s="426"/>
      <c r="F11" s="427"/>
      <c r="G11" s="52">
        <f>'[1]Доходы прил №1'!E14*1000</f>
        <v>42011726</v>
      </c>
      <c r="H11" s="26">
        <f>'[1]Доходы прил №1'!F14*1000</f>
        <v>44917400</v>
      </c>
      <c r="I11" s="26">
        <f>'[1]Доходы прил №1'!G14*1000</f>
        <v>46413100</v>
      </c>
    </row>
    <row r="12" spans="1:9" ht="31.5" hidden="1" customHeight="1" x14ac:dyDescent="0.2">
      <c r="A12" s="26"/>
      <c r="B12" s="420"/>
      <c r="C12" s="421"/>
      <c r="D12" s="421"/>
      <c r="E12" s="421"/>
      <c r="F12" s="422"/>
      <c r="G12" s="52"/>
      <c r="H12" s="26"/>
      <c r="I12" s="26"/>
    </row>
    <row r="13" spans="1:9" ht="31.5" hidden="1" customHeight="1" x14ac:dyDescent="0.2">
      <c r="A13" s="26"/>
      <c r="B13" s="420"/>
      <c r="C13" s="421"/>
      <c r="D13" s="421"/>
      <c r="E13" s="421"/>
      <c r="F13" s="422"/>
      <c r="G13" s="52"/>
      <c r="H13" s="26"/>
      <c r="I13" s="26"/>
    </row>
    <row r="14" spans="1:9" ht="31.5" hidden="1" customHeight="1" x14ac:dyDescent="0.2">
      <c r="A14" s="26"/>
      <c r="B14" s="420"/>
      <c r="C14" s="421"/>
      <c r="D14" s="421"/>
      <c r="E14" s="421"/>
      <c r="F14" s="422"/>
      <c r="G14" s="52"/>
      <c r="H14" s="26"/>
      <c r="I14" s="26"/>
    </row>
    <row r="15" spans="1:9" ht="31.5" customHeight="1" x14ac:dyDescent="0.2">
      <c r="A15" s="26"/>
      <c r="B15" s="398" t="s">
        <v>394</v>
      </c>
      <c r="C15" s="399"/>
      <c r="D15" s="399"/>
      <c r="E15" s="399"/>
      <c r="F15" s="400"/>
      <c r="G15" s="53">
        <f>SUM(G17:G18)</f>
        <v>42011726.409999996</v>
      </c>
      <c r="H15" s="53">
        <f>SUM(H17:H18)</f>
        <v>45591161</v>
      </c>
      <c r="I15" s="53">
        <f>SUM(I17:I18)</f>
        <v>47109296.5</v>
      </c>
    </row>
    <row r="16" spans="1:9" ht="31.5" customHeight="1" x14ac:dyDescent="0.2">
      <c r="A16" s="26"/>
      <c r="B16" s="420" t="s">
        <v>103</v>
      </c>
      <c r="C16" s="421"/>
      <c r="D16" s="421"/>
      <c r="E16" s="421"/>
      <c r="F16" s="422"/>
      <c r="G16" s="52"/>
      <c r="H16" s="26"/>
      <c r="I16" s="26"/>
    </row>
    <row r="17" spans="1:9" ht="31.5" customHeight="1" x14ac:dyDescent="0.2">
      <c r="A17" s="34" t="s">
        <v>194</v>
      </c>
      <c r="B17" s="430" t="s">
        <v>392</v>
      </c>
      <c r="C17" s="431"/>
      <c r="D17" s="431"/>
      <c r="E17" s="431"/>
      <c r="F17" s="432"/>
      <c r="G17" s="53">
        <f>G11*3.5%</f>
        <v>1470410.4100000001</v>
      </c>
      <c r="H17" s="53">
        <f>H11*3.5%</f>
        <v>1572109.0000000002</v>
      </c>
      <c r="I17" s="53">
        <f>I11*3.5%</f>
        <v>1624458.5000000002</v>
      </c>
    </row>
    <row r="18" spans="1:9" ht="31.5" customHeight="1" x14ac:dyDescent="0.2">
      <c r="A18" s="34" t="s">
        <v>168</v>
      </c>
      <c r="B18" s="425" t="s">
        <v>393</v>
      </c>
      <c r="C18" s="426"/>
      <c r="D18" s="426"/>
      <c r="E18" s="426"/>
      <c r="F18" s="427"/>
      <c r="G18" s="53">
        <f>'[1]МБУ ЖКХ'!CF56</f>
        <v>40541316</v>
      </c>
      <c r="H18" s="53">
        <f>SUM('[1]Автоакц прил №'!D31,'[1]Автоакц прил №'!D47)</f>
        <v>44019052</v>
      </c>
      <c r="I18" s="53">
        <f>SUM('[1]Автоакц прил №'!E31,'[1]Автоакц прил №'!E47)</f>
        <v>45484838</v>
      </c>
    </row>
  </sheetData>
  <mergeCells count="19">
    <mergeCell ref="B17:F17"/>
    <mergeCell ref="B18:F18"/>
    <mergeCell ref="B14:F14"/>
    <mergeCell ref="B15:F15"/>
    <mergeCell ref="B16:F16"/>
    <mergeCell ref="B13:F13"/>
    <mergeCell ref="A1:I1"/>
    <mergeCell ref="A2:I2"/>
    <mergeCell ref="A3:I3"/>
    <mergeCell ref="A4:I4"/>
    <mergeCell ref="A5:I5"/>
    <mergeCell ref="A6:I6"/>
    <mergeCell ref="B12:F12"/>
    <mergeCell ref="A7:A8"/>
    <mergeCell ref="B7:F8"/>
    <mergeCell ref="G7:I7"/>
    <mergeCell ref="B9:F9"/>
    <mergeCell ref="B10:F10"/>
    <mergeCell ref="B11:F1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E111"/>
  <sheetViews>
    <sheetView zoomScaleNormal="100" workbookViewId="0">
      <selection activeCell="B21" sqref="B21"/>
    </sheetView>
  </sheetViews>
  <sheetFormatPr defaultRowHeight="12.75" x14ac:dyDescent="0.2"/>
  <cols>
    <col min="1" max="1" width="5.140625" customWidth="1"/>
    <col min="2" max="2" width="51.42578125" customWidth="1"/>
    <col min="3" max="3" width="10.42578125" customWidth="1"/>
    <col min="4" max="5" width="8.85546875" customWidth="1"/>
  </cols>
  <sheetData>
    <row r="1" spans="1:5" ht="15" customHeight="1" x14ac:dyDescent="0.2"/>
    <row r="2" spans="1:5" s="126" customFormat="1" x14ac:dyDescent="0.2">
      <c r="B2" s="338"/>
      <c r="C2" s="433" t="s">
        <v>621</v>
      </c>
      <c r="D2" s="433"/>
      <c r="E2" s="433"/>
    </row>
    <row r="3" spans="1:5" s="126" customFormat="1" x14ac:dyDescent="0.2">
      <c r="B3" s="433" t="s">
        <v>80</v>
      </c>
      <c r="C3" s="433"/>
      <c r="D3" s="433"/>
      <c r="E3" s="433"/>
    </row>
    <row r="4" spans="1:5" s="126" customFormat="1" x14ac:dyDescent="0.2">
      <c r="B4" s="433" t="s">
        <v>871</v>
      </c>
      <c r="C4" s="433"/>
      <c r="D4" s="433"/>
      <c r="E4" s="433"/>
    </row>
    <row r="5" spans="1:5" x14ac:dyDescent="0.2">
      <c r="B5" s="5"/>
      <c r="C5" s="5" t="s">
        <v>33</v>
      </c>
    </row>
    <row r="6" spans="1:5" ht="49.7" customHeight="1" x14ac:dyDescent="0.2">
      <c r="A6" s="434" t="s">
        <v>833</v>
      </c>
      <c r="B6" s="434"/>
      <c r="C6" s="434"/>
      <c r="D6" s="434"/>
      <c r="E6" s="434"/>
    </row>
    <row r="7" spans="1:5" ht="18.75" x14ac:dyDescent="0.3">
      <c r="A7" s="62"/>
      <c r="B7" s="62"/>
      <c r="C7" s="62"/>
    </row>
    <row r="8" spans="1:5" ht="12.75" customHeight="1" x14ac:dyDescent="0.2">
      <c r="A8" s="364"/>
      <c r="B8" s="364"/>
      <c r="C8" s="435" t="s">
        <v>313</v>
      </c>
      <c r="D8" s="436"/>
      <c r="E8" s="437"/>
    </row>
    <row r="9" spans="1:5" ht="91.9" customHeight="1" x14ac:dyDescent="0.2">
      <c r="A9" s="364"/>
      <c r="B9" s="364"/>
      <c r="C9" s="48" t="s">
        <v>461</v>
      </c>
      <c r="D9" s="48" t="s">
        <v>487</v>
      </c>
      <c r="E9" s="48" t="s">
        <v>772</v>
      </c>
    </row>
    <row r="10" spans="1:5" ht="13.7" customHeight="1" x14ac:dyDescent="0.2">
      <c r="A10" s="61">
        <v>1</v>
      </c>
      <c r="B10" s="61">
        <v>2</v>
      </c>
      <c r="C10" s="49">
        <v>4</v>
      </c>
      <c r="D10" s="49">
        <v>5</v>
      </c>
      <c r="E10" s="49">
        <v>6</v>
      </c>
    </row>
    <row r="11" spans="1:5" ht="15" x14ac:dyDescent="0.25">
      <c r="A11" s="63" t="s">
        <v>194</v>
      </c>
      <c r="B11" s="339" t="s">
        <v>204</v>
      </c>
      <c r="C11" s="340">
        <f>[1]Администрация!DF21</f>
        <v>2750000</v>
      </c>
      <c r="D11" s="341">
        <f>C11</f>
        <v>2750000</v>
      </c>
      <c r="E11" s="341">
        <f>D11</f>
        <v>2750000</v>
      </c>
    </row>
    <row r="12" spans="1:5" ht="30" x14ac:dyDescent="0.25">
      <c r="A12" s="64" t="s">
        <v>168</v>
      </c>
      <c r="B12" s="342" t="s">
        <v>229</v>
      </c>
      <c r="C12" s="343">
        <f>[1]Администрация!DE22</f>
        <v>12000</v>
      </c>
      <c r="D12" s="341">
        <f>C12</f>
        <v>12000</v>
      </c>
      <c r="E12" s="341">
        <f>D12</f>
        <v>12000</v>
      </c>
    </row>
    <row r="13" spans="1:5" ht="15" x14ac:dyDescent="0.25">
      <c r="A13" s="64">
        <v>3</v>
      </c>
      <c r="B13" s="342" t="s">
        <v>363</v>
      </c>
      <c r="C13" s="343">
        <f>'[1]МКУ "УО"'!DJ6</f>
        <v>2051000</v>
      </c>
      <c r="D13" s="343">
        <f>'[1]МКУ "УО"'!DK6</f>
        <v>0</v>
      </c>
      <c r="E13" s="343">
        <f>'[1]МКУ "УО"'!DL6</f>
        <v>0</v>
      </c>
    </row>
    <row r="14" spans="1:5" ht="15" x14ac:dyDescent="0.25">
      <c r="A14" s="64">
        <v>4</v>
      </c>
      <c r="B14" s="342" t="s">
        <v>364</v>
      </c>
      <c r="C14" s="343">
        <f>[1]Администрация!DT23</f>
        <v>1830000</v>
      </c>
      <c r="D14" s="343">
        <f>[1]Администрация!DU23</f>
        <v>0</v>
      </c>
      <c r="E14" s="343">
        <f>[1]Администрация!DV23</f>
        <v>0</v>
      </c>
    </row>
    <row r="15" spans="1:5" ht="15" x14ac:dyDescent="0.25">
      <c r="A15" s="64">
        <v>5</v>
      </c>
      <c r="B15" s="342" t="s">
        <v>609</v>
      </c>
      <c r="C15" s="343">
        <f>'[1]Ясли сады'!FF24</f>
        <v>1505400.41</v>
      </c>
      <c r="D15" s="343">
        <f>C15</f>
        <v>1505400.41</v>
      </c>
      <c r="E15" s="343">
        <f>D15</f>
        <v>1505400.41</v>
      </c>
    </row>
    <row r="16" spans="1:5" ht="15" x14ac:dyDescent="0.25">
      <c r="A16" s="64">
        <v>6</v>
      </c>
      <c r="B16" s="342" t="s">
        <v>610</v>
      </c>
      <c r="C16" s="343">
        <f>[1]Школы!HA43</f>
        <v>963438.18181818223</v>
      </c>
      <c r="D16" s="343">
        <f>'[1]Доходы прил №1'!F38*1000</f>
        <v>953803.8</v>
      </c>
      <c r="E16" s="343">
        <f>D16</f>
        <v>953803.8</v>
      </c>
    </row>
    <row r="17" spans="1:5" x14ac:dyDescent="0.2">
      <c r="A17" s="344"/>
      <c r="B17" s="332" t="s">
        <v>34</v>
      </c>
      <c r="C17" s="333">
        <f>SUM(C11:C14)</f>
        <v>6643000</v>
      </c>
      <c r="D17" s="333">
        <f>SUM(D11:D14)</f>
        <v>2762000</v>
      </c>
      <c r="E17" s="333">
        <f>SUM(E11:E14)</f>
        <v>2762000</v>
      </c>
    </row>
    <row r="18" spans="1:5" x14ac:dyDescent="0.2">
      <c r="A18" s="6"/>
      <c r="B18" s="59"/>
      <c r="C18" s="6"/>
    </row>
    <row r="19" spans="1:5" x14ac:dyDescent="0.2">
      <c r="A19" s="6"/>
      <c r="B19" s="59"/>
      <c r="C19" s="6"/>
    </row>
    <row r="20" spans="1:5" x14ac:dyDescent="0.2">
      <c r="A20" s="6"/>
      <c r="B20" s="59"/>
      <c r="C20" s="6"/>
    </row>
    <row r="21" spans="1:5" x14ac:dyDescent="0.2">
      <c r="A21" s="6"/>
      <c r="B21" s="59"/>
      <c r="C21" s="6"/>
    </row>
    <row r="22" spans="1:5" x14ac:dyDescent="0.2">
      <c r="A22" s="6"/>
      <c r="B22" s="59"/>
      <c r="C22" s="6"/>
    </row>
    <row r="23" spans="1:5" x14ac:dyDescent="0.2">
      <c r="A23" s="6"/>
      <c r="B23" s="6"/>
      <c r="C23" s="6"/>
    </row>
    <row r="24" spans="1:5" x14ac:dyDescent="0.2">
      <c r="A24" s="6"/>
      <c r="B24" s="59"/>
      <c r="C24" s="6"/>
    </row>
    <row r="25" spans="1:5" x14ac:dyDescent="0.2">
      <c r="A25" s="6"/>
      <c r="B25" s="59"/>
      <c r="C25" s="6"/>
    </row>
    <row r="26" spans="1:5" x14ac:dyDescent="0.2">
      <c r="A26" s="6"/>
      <c r="B26" s="59"/>
      <c r="C26" s="6"/>
    </row>
    <row r="27" spans="1:5" x14ac:dyDescent="0.2">
      <c r="A27" s="6"/>
      <c r="B27" s="59"/>
      <c r="C27" s="6"/>
    </row>
    <row r="28" spans="1:5" x14ac:dyDescent="0.2">
      <c r="A28" s="6"/>
      <c r="B28" s="59"/>
      <c r="C28" s="6"/>
    </row>
    <row r="29" spans="1:5" x14ac:dyDescent="0.2">
      <c r="A29" s="6"/>
      <c r="B29" s="59"/>
      <c r="C29" s="6"/>
    </row>
    <row r="30" spans="1:5" x14ac:dyDescent="0.2">
      <c r="A30" s="6"/>
      <c r="B30" s="59"/>
      <c r="C30" s="6"/>
    </row>
    <row r="31" spans="1:5" x14ac:dyDescent="0.2">
      <c r="A31" s="6"/>
      <c r="B31" s="59"/>
      <c r="C31" s="6"/>
    </row>
    <row r="32" spans="1:5" x14ac:dyDescent="0.2">
      <c r="A32" s="6"/>
      <c r="B32" s="59"/>
      <c r="C32" s="6"/>
    </row>
    <row r="33" spans="1:3" x14ac:dyDescent="0.2">
      <c r="A33" s="6"/>
      <c r="B33" s="59"/>
      <c r="C33" s="6"/>
    </row>
    <row r="34" spans="1:3" x14ac:dyDescent="0.2">
      <c r="A34" s="6"/>
      <c r="B34" s="59"/>
      <c r="C34" s="6"/>
    </row>
    <row r="35" spans="1:3" x14ac:dyDescent="0.2">
      <c r="A35" s="6"/>
      <c r="B35" s="59"/>
      <c r="C35" s="6"/>
    </row>
    <row r="36" spans="1:3" x14ac:dyDescent="0.2">
      <c r="A36" s="6"/>
      <c r="B36" s="59"/>
      <c r="C36" s="6"/>
    </row>
    <row r="37" spans="1:3" x14ac:dyDescent="0.2">
      <c r="A37" s="6"/>
      <c r="B37" s="59"/>
      <c r="C37" s="6"/>
    </row>
    <row r="38" spans="1:3" x14ac:dyDescent="0.2">
      <c r="A38" s="6"/>
      <c r="B38" s="59"/>
      <c r="C38" s="6"/>
    </row>
    <row r="39" spans="1:3" x14ac:dyDescent="0.2">
      <c r="A39" s="6"/>
      <c r="B39" s="59"/>
      <c r="C39" s="6"/>
    </row>
    <row r="40" spans="1:3" x14ac:dyDescent="0.2">
      <c r="A40" s="6"/>
      <c r="B40" s="59"/>
      <c r="C40" s="6"/>
    </row>
    <row r="41" spans="1:3" x14ac:dyDescent="0.2">
      <c r="A41" s="6"/>
      <c r="B41" s="59"/>
      <c r="C41" s="6"/>
    </row>
    <row r="42" spans="1:3" x14ac:dyDescent="0.2">
      <c r="A42" s="6"/>
      <c r="B42" s="59"/>
      <c r="C42" s="6"/>
    </row>
    <row r="43" spans="1:3" x14ac:dyDescent="0.2">
      <c r="A43" s="6"/>
      <c r="B43" s="59"/>
      <c r="C43" s="6"/>
    </row>
    <row r="44" spans="1:3" x14ac:dyDescent="0.2">
      <c r="A44" s="6"/>
      <c r="B44" s="59"/>
      <c r="C44" s="6"/>
    </row>
    <row r="45" spans="1:3" x14ac:dyDescent="0.2">
      <c r="A45" s="6"/>
      <c r="B45" s="59"/>
      <c r="C45" s="6"/>
    </row>
    <row r="46" spans="1:3" x14ac:dyDescent="0.2">
      <c r="A46" s="6"/>
      <c r="B46" s="59"/>
      <c r="C46" s="6"/>
    </row>
    <row r="47" spans="1:3" x14ac:dyDescent="0.2">
      <c r="A47" s="6"/>
      <c r="B47" s="59"/>
      <c r="C47" s="6"/>
    </row>
    <row r="48" spans="1:3" x14ac:dyDescent="0.2">
      <c r="A48" s="6"/>
      <c r="B48" s="59"/>
      <c r="C48" s="6"/>
    </row>
    <row r="49" spans="1:3" x14ac:dyDescent="0.2">
      <c r="A49" s="6"/>
      <c r="B49" s="59"/>
      <c r="C49" s="6"/>
    </row>
    <row r="50" spans="1:3" x14ac:dyDescent="0.2">
      <c r="A50" s="6"/>
      <c r="B50" s="59"/>
      <c r="C50" s="6"/>
    </row>
    <row r="51" spans="1:3" x14ac:dyDescent="0.2">
      <c r="A51" s="6"/>
      <c r="B51" s="59"/>
      <c r="C51" s="6"/>
    </row>
    <row r="52" spans="1:3" x14ac:dyDescent="0.2">
      <c r="A52" s="6"/>
      <c r="B52" s="59"/>
      <c r="C52" s="6"/>
    </row>
    <row r="53" spans="1:3" x14ac:dyDescent="0.2">
      <c r="A53" s="6"/>
      <c r="B53" s="6"/>
      <c r="C53" s="6"/>
    </row>
    <row r="54" spans="1:3" x14ac:dyDescent="0.2">
      <c r="A54" s="6"/>
      <c r="B54" s="6"/>
      <c r="C54" s="6"/>
    </row>
    <row r="55" spans="1:3" x14ac:dyDescent="0.2">
      <c r="A55" s="6"/>
      <c r="B55" s="6"/>
      <c r="C55" s="6"/>
    </row>
    <row r="56" spans="1:3" x14ac:dyDescent="0.2">
      <c r="A56" s="6"/>
      <c r="B56" s="6"/>
      <c r="C56" s="6"/>
    </row>
    <row r="57" spans="1:3" x14ac:dyDescent="0.2">
      <c r="A57" s="6"/>
      <c r="B57" s="6"/>
      <c r="C57" s="6"/>
    </row>
    <row r="58" spans="1:3" x14ac:dyDescent="0.2">
      <c r="A58" s="6"/>
      <c r="B58" s="6"/>
      <c r="C58" s="6"/>
    </row>
    <row r="59" spans="1:3" x14ac:dyDescent="0.2">
      <c r="A59" s="6"/>
      <c r="B59" s="6"/>
      <c r="C59" s="6"/>
    </row>
    <row r="60" spans="1:3" x14ac:dyDescent="0.2">
      <c r="A60" s="6"/>
      <c r="B60" s="6"/>
      <c r="C60" s="6"/>
    </row>
    <row r="61" spans="1:3" x14ac:dyDescent="0.2">
      <c r="A61" s="6"/>
      <c r="B61" s="6"/>
      <c r="C61" s="6"/>
    </row>
    <row r="62" spans="1:3" x14ac:dyDescent="0.2">
      <c r="A62" s="6"/>
      <c r="B62" s="6"/>
      <c r="C62" s="6"/>
    </row>
    <row r="63" spans="1:3" x14ac:dyDescent="0.2">
      <c r="A63" s="6"/>
      <c r="B63" s="6"/>
      <c r="C63" s="6"/>
    </row>
    <row r="64" spans="1:3" x14ac:dyDescent="0.2">
      <c r="A64" s="6"/>
      <c r="B64" s="6"/>
      <c r="C64" s="6"/>
    </row>
    <row r="65" spans="1:3" x14ac:dyDescent="0.2">
      <c r="A65" s="6"/>
      <c r="B65" s="6"/>
      <c r="C65" s="6"/>
    </row>
    <row r="66" spans="1:3" x14ac:dyDescent="0.2">
      <c r="A66" s="6"/>
      <c r="B66" s="6"/>
      <c r="C66" s="6"/>
    </row>
    <row r="67" spans="1:3" x14ac:dyDescent="0.2">
      <c r="A67" s="6"/>
      <c r="B67" s="6"/>
      <c r="C67" s="6"/>
    </row>
    <row r="68" spans="1:3" x14ac:dyDescent="0.2">
      <c r="A68" s="6"/>
      <c r="B68" s="6"/>
      <c r="C68" s="6"/>
    </row>
    <row r="69" spans="1:3" x14ac:dyDescent="0.2">
      <c r="A69" s="6"/>
      <c r="B69" s="6"/>
      <c r="C69" s="6"/>
    </row>
    <row r="70" spans="1:3" x14ac:dyDescent="0.2">
      <c r="A70" s="6"/>
      <c r="B70" s="6"/>
      <c r="C70" s="6"/>
    </row>
    <row r="71" spans="1:3" x14ac:dyDescent="0.2">
      <c r="A71" s="6"/>
      <c r="B71" s="6"/>
      <c r="C71" s="6"/>
    </row>
    <row r="72" spans="1:3" x14ac:dyDescent="0.2">
      <c r="A72" s="6"/>
      <c r="B72" s="6"/>
      <c r="C72" s="6"/>
    </row>
    <row r="73" spans="1:3" x14ac:dyDescent="0.2">
      <c r="A73" s="6"/>
      <c r="B73" s="6"/>
      <c r="C73" s="6"/>
    </row>
    <row r="74" spans="1:3" x14ac:dyDescent="0.2">
      <c r="A74" s="6"/>
      <c r="B74" s="6"/>
      <c r="C74" s="6"/>
    </row>
    <row r="75" spans="1:3" x14ac:dyDescent="0.2">
      <c r="A75" s="6"/>
      <c r="B75" s="6"/>
      <c r="C75" s="6"/>
    </row>
    <row r="76" spans="1:3" x14ac:dyDescent="0.2">
      <c r="A76" s="6"/>
      <c r="B76" s="6"/>
      <c r="C76" s="6"/>
    </row>
    <row r="77" spans="1:3" x14ac:dyDescent="0.2">
      <c r="A77" s="6"/>
      <c r="B77" s="6"/>
      <c r="C77" s="6"/>
    </row>
    <row r="78" spans="1:3" x14ac:dyDescent="0.2">
      <c r="A78" s="6"/>
      <c r="B78" s="6"/>
      <c r="C78" s="6"/>
    </row>
    <row r="79" spans="1:3" x14ac:dyDescent="0.2">
      <c r="A79" s="6"/>
      <c r="B79" s="6"/>
      <c r="C79" s="6"/>
    </row>
    <row r="80" spans="1:3" x14ac:dyDescent="0.2">
      <c r="A80" s="6"/>
      <c r="B80" s="6"/>
      <c r="C80" s="6"/>
    </row>
    <row r="81" spans="1:3" x14ac:dyDescent="0.2">
      <c r="A81" s="6"/>
      <c r="B81" s="6"/>
      <c r="C81" s="6"/>
    </row>
    <row r="82" spans="1:3" x14ac:dyDescent="0.2">
      <c r="A82" s="6"/>
      <c r="B82" s="6"/>
      <c r="C82" s="6"/>
    </row>
    <row r="83" spans="1:3" x14ac:dyDescent="0.2">
      <c r="A83" s="6"/>
      <c r="B83" s="6"/>
      <c r="C83" s="6"/>
    </row>
    <row r="84" spans="1:3" x14ac:dyDescent="0.2">
      <c r="A84" s="6"/>
      <c r="B84" s="6"/>
      <c r="C84" s="6"/>
    </row>
    <row r="85" spans="1:3" x14ac:dyDescent="0.2">
      <c r="A85" s="6"/>
      <c r="B85" s="6"/>
      <c r="C85" s="6"/>
    </row>
    <row r="86" spans="1:3" x14ac:dyDescent="0.2">
      <c r="A86" s="6"/>
      <c r="B86" s="6"/>
      <c r="C86" s="6"/>
    </row>
    <row r="87" spans="1:3" x14ac:dyDescent="0.2">
      <c r="A87" s="6"/>
      <c r="B87" s="6"/>
      <c r="C87" s="6"/>
    </row>
    <row r="88" spans="1:3" x14ac:dyDescent="0.2">
      <c r="A88" s="6"/>
      <c r="B88" s="6"/>
      <c r="C88" s="6"/>
    </row>
    <row r="89" spans="1:3" x14ac:dyDescent="0.2">
      <c r="A89" s="6"/>
      <c r="B89" s="6"/>
      <c r="C89" s="6"/>
    </row>
    <row r="90" spans="1:3" x14ac:dyDescent="0.2">
      <c r="A90" s="6"/>
      <c r="B90" s="6"/>
      <c r="C90" s="6"/>
    </row>
    <row r="91" spans="1:3" x14ac:dyDescent="0.2">
      <c r="A91" s="6"/>
      <c r="B91" s="6"/>
      <c r="C91" s="6"/>
    </row>
    <row r="92" spans="1:3" x14ac:dyDescent="0.2">
      <c r="A92" s="6"/>
      <c r="B92" s="6"/>
      <c r="C92" s="6"/>
    </row>
    <row r="93" spans="1:3" x14ac:dyDescent="0.2">
      <c r="A93" s="6"/>
      <c r="B93" s="6"/>
      <c r="C93" s="6"/>
    </row>
    <row r="94" spans="1:3" x14ac:dyDescent="0.2">
      <c r="A94" s="6"/>
      <c r="B94" s="6"/>
      <c r="C94" s="6"/>
    </row>
    <row r="95" spans="1:3" x14ac:dyDescent="0.2">
      <c r="A95" s="6"/>
      <c r="B95" s="6"/>
      <c r="C95" s="6"/>
    </row>
    <row r="96" spans="1:3" x14ac:dyDescent="0.2">
      <c r="A96" s="6"/>
      <c r="B96" s="6"/>
      <c r="C96" s="6"/>
    </row>
    <row r="97" spans="1:3" x14ac:dyDescent="0.2">
      <c r="A97" s="6"/>
      <c r="B97" s="6"/>
      <c r="C97" s="6"/>
    </row>
    <row r="98" spans="1:3" x14ac:dyDescent="0.2">
      <c r="A98" s="6"/>
      <c r="B98" s="6"/>
      <c r="C98" s="6"/>
    </row>
    <row r="99" spans="1:3" x14ac:dyDescent="0.2">
      <c r="A99" s="6"/>
      <c r="B99" s="6"/>
      <c r="C99" s="6"/>
    </row>
    <row r="100" spans="1:3" x14ac:dyDescent="0.2">
      <c r="A100" s="6"/>
      <c r="B100" s="6"/>
      <c r="C100" s="6"/>
    </row>
    <row r="101" spans="1:3" x14ac:dyDescent="0.2">
      <c r="A101" s="6"/>
      <c r="B101" s="6"/>
      <c r="C101" s="6"/>
    </row>
    <row r="102" spans="1:3" x14ac:dyDescent="0.2">
      <c r="A102" s="6"/>
      <c r="B102" s="6"/>
      <c r="C102" s="6"/>
    </row>
    <row r="103" spans="1:3" x14ac:dyDescent="0.2">
      <c r="A103" s="6"/>
      <c r="B103" s="6"/>
      <c r="C103" s="6"/>
    </row>
    <row r="104" spans="1:3" x14ac:dyDescent="0.2">
      <c r="A104" s="6"/>
      <c r="B104" s="6"/>
      <c r="C104" s="6"/>
    </row>
    <row r="105" spans="1:3" x14ac:dyDescent="0.2">
      <c r="A105" s="6"/>
      <c r="B105" s="6"/>
      <c r="C105" s="6"/>
    </row>
    <row r="106" spans="1:3" x14ac:dyDescent="0.2">
      <c r="A106" s="6"/>
      <c r="B106" s="6"/>
      <c r="C106" s="6"/>
    </row>
    <row r="107" spans="1:3" x14ac:dyDescent="0.2">
      <c r="A107" s="6"/>
      <c r="B107" s="6"/>
      <c r="C107" s="6"/>
    </row>
    <row r="108" spans="1:3" x14ac:dyDescent="0.2">
      <c r="A108" s="6"/>
      <c r="B108" s="6"/>
      <c r="C108" s="6"/>
    </row>
    <row r="109" spans="1:3" x14ac:dyDescent="0.2">
      <c r="A109" s="6"/>
      <c r="B109" s="6"/>
      <c r="C109" s="6"/>
    </row>
    <row r="110" spans="1:3" x14ac:dyDescent="0.2">
      <c r="A110" s="6"/>
      <c r="B110" s="6"/>
      <c r="C110" s="6"/>
    </row>
    <row r="111" spans="1:3" x14ac:dyDescent="0.2">
      <c r="A111" s="6"/>
      <c r="B111" s="6"/>
      <c r="C111" s="6"/>
    </row>
  </sheetData>
  <mergeCells count="7">
    <mergeCell ref="C2:E2"/>
    <mergeCell ref="B3:E3"/>
    <mergeCell ref="B4:E4"/>
    <mergeCell ref="A6:E6"/>
    <mergeCell ref="A8:A9"/>
    <mergeCell ref="B8:B9"/>
    <mergeCell ref="C8:E8"/>
  </mergeCells>
  <phoneticPr fontId="0" type="noConversion"/>
  <pageMargins left="0.77" right="0.74803149606299213" top="0.27559055118110237" bottom="0.15748031496062992" header="0.23622047244094491" footer="0.1574803149606299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E14"/>
  <sheetViews>
    <sheetView zoomScaleNormal="100" workbookViewId="0">
      <selection activeCell="B24" sqref="B24"/>
    </sheetView>
  </sheetViews>
  <sheetFormatPr defaultRowHeight="12.75" x14ac:dyDescent="0.2"/>
  <cols>
    <col min="1" max="1" width="6" customWidth="1"/>
    <col min="2" max="2" width="58.85546875" customWidth="1"/>
    <col min="3" max="3" width="14.140625" customWidth="1"/>
  </cols>
  <sheetData>
    <row r="1" spans="1:5" s="126" customFormat="1" ht="15.75" x14ac:dyDescent="0.2">
      <c r="B1" s="135"/>
    </row>
    <row r="2" spans="1:5" s="126" customFormat="1" x14ac:dyDescent="0.2">
      <c r="B2" s="433" t="s">
        <v>834</v>
      </c>
      <c r="C2" s="433"/>
      <c r="D2" s="433"/>
      <c r="E2" s="433"/>
    </row>
    <row r="3" spans="1:5" s="126" customFormat="1" x14ac:dyDescent="0.2">
      <c r="B3" s="433" t="s">
        <v>81</v>
      </c>
      <c r="C3" s="433"/>
      <c r="D3" s="433"/>
      <c r="E3" s="433"/>
    </row>
    <row r="4" spans="1:5" s="126" customFormat="1" x14ac:dyDescent="0.2">
      <c r="B4" s="433" t="s">
        <v>872</v>
      </c>
      <c r="C4" s="433"/>
      <c r="D4" s="433"/>
      <c r="E4" s="433"/>
    </row>
    <row r="6" spans="1:5" s="126" customFormat="1" ht="14.25" x14ac:dyDescent="0.2">
      <c r="A6" s="439"/>
      <c r="B6" s="439"/>
      <c r="C6" s="439"/>
      <c r="D6" s="439"/>
      <c r="E6" s="439"/>
    </row>
    <row r="7" spans="1:5" s="126" customFormat="1" ht="14.25" x14ac:dyDescent="0.2">
      <c r="A7" s="438" t="s">
        <v>873</v>
      </c>
      <c r="B7" s="438"/>
      <c r="C7" s="438"/>
      <c r="D7" s="438"/>
      <c r="E7" s="438"/>
    </row>
    <row r="8" spans="1:5" s="126" customFormat="1" ht="14.25" x14ac:dyDescent="0.2">
      <c r="A8" s="438" t="s">
        <v>835</v>
      </c>
      <c r="B8" s="438"/>
      <c r="C8" s="438"/>
      <c r="D8" s="438"/>
      <c r="E8" s="438"/>
    </row>
    <row r="9" spans="1:5" s="126" customFormat="1" ht="15.75" x14ac:dyDescent="0.25">
      <c r="A9" s="345"/>
      <c r="B9" s="345"/>
      <c r="C9" s="345"/>
    </row>
    <row r="10" spans="1:5" ht="15" x14ac:dyDescent="0.2">
      <c r="A10" s="346"/>
      <c r="B10" s="346"/>
    </row>
    <row r="11" spans="1:5" ht="15.75" x14ac:dyDescent="0.25">
      <c r="A11" s="354"/>
      <c r="B11" s="354"/>
      <c r="C11" s="355">
        <v>2024</v>
      </c>
      <c r="D11" s="347">
        <v>2025</v>
      </c>
      <c r="E11" s="347">
        <v>2026</v>
      </c>
    </row>
    <row r="12" spans="1:5" ht="15.75" x14ac:dyDescent="0.25">
      <c r="A12" s="356"/>
      <c r="B12" s="357"/>
      <c r="C12" s="348">
        <f>'[1]ВСРБМР прил №2'!G39</f>
        <v>9120126.2999999989</v>
      </c>
      <c r="D12" s="349">
        <f>C12</f>
        <v>9120126.2999999989</v>
      </c>
      <c r="E12" s="349">
        <f>C12</f>
        <v>9120126.2999999989</v>
      </c>
    </row>
    <row r="14" spans="1:5" ht="0.75" customHeight="1" x14ac:dyDescent="0.2"/>
  </sheetData>
  <mergeCells count="6">
    <mergeCell ref="B2:E2"/>
    <mergeCell ref="B3:E3"/>
    <mergeCell ref="B4:E4"/>
    <mergeCell ref="A8:E8"/>
    <mergeCell ref="A6:E6"/>
    <mergeCell ref="A7:E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42">
    <tabColor rgb="FF92D050"/>
  </sheetPr>
  <dimension ref="A1:Y89"/>
  <sheetViews>
    <sheetView view="pageBreakPreview" topLeftCell="A16" zoomScale="115" zoomScaleNormal="100" zoomScaleSheetLayoutView="115" workbookViewId="0">
      <selection activeCell="B46" sqref="B46"/>
    </sheetView>
  </sheetViews>
  <sheetFormatPr defaultColWidth="8.7109375" defaultRowHeight="12.75" x14ac:dyDescent="0.2"/>
  <cols>
    <col min="1" max="1" width="4.140625" style="114" customWidth="1"/>
    <col min="2" max="2" width="28.42578125" style="114" customWidth="1"/>
    <col min="3" max="3" width="12.85546875" style="114" customWidth="1"/>
    <col min="4" max="5" width="10.85546875" style="114" customWidth="1"/>
    <col min="6" max="6" width="9.85546875" style="114" customWidth="1"/>
    <col min="7" max="7" width="12.7109375" style="114" customWidth="1"/>
    <col min="8" max="8" width="10.7109375" style="114" customWidth="1"/>
    <col min="9" max="9" width="7.5703125" style="114" customWidth="1"/>
    <col min="10" max="10" width="10.85546875" style="114" customWidth="1"/>
    <col min="11" max="12" width="7.5703125" style="114" customWidth="1"/>
    <col min="13" max="13" width="8.42578125" style="114" customWidth="1"/>
    <col min="14" max="14" width="10.140625" style="114" customWidth="1"/>
    <col min="15" max="16" width="8.85546875" style="114" customWidth="1"/>
    <col min="17" max="17" width="13.42578125" style="114" customWidth="1"/>
    <col min="18" max="18" width="13" style="114" customWidth="1"/>
    <col min="19" max="19" width="24.85546875" style="114" customWidth="1"/>
    <col min="20" max="20" width="9.85546875" style="114" bestFit="1" customWidth="1"/>
    <col min="21" max="29" width="8.7109375" style="114"/>
    <col min="30" max="30" width="10" style="114" bestFit="1" customWidth="1"/>
    <col min="31" max="16384" width="8.7109375" style="114"/>
  </cols>
  <sheetData>
    <row r="1" spans="1:23" s="95" customFormat="1" x14ac:dyDescent="0.2">
      <c r="F1" s="428" t="s">
        <v>622</v>
      </c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</row>
    <row r="2" spans="1:23" s="95" customFormat="1" x14ac:dyDescent="0.2">
      <c r="F2" s="337"/>
      <c r="G2" s="337"/>
      <c r="H2" s="337"/>
      <c r="I2" s="337"/>
      <c r="J2" s="337"/>
      <c r="K2" s="337"/>
      <c r="L2" s="337"/>
      <c r="M2" s="337"/>
      <c r="N2" s="428" t="s">
        <v>81</v>
      </c>
      <c r="O2" s="428"/>
      <c r="P2" s="428"/>
      <c r="Q2" s="428"/>
      <c r="R2" s="428"/>
    </row>
    <row r="3" spans="1:23" s="95" customFormat="1" x14ac:dyDescent="0.2">
      <c r="H3" s="461" t="s">
        <v>874</v>
      </c>
      <c r="I3" s="461"/>
      <c r="J3" s="461"/>
      <c r="K3" s="461"/>
      <c r="L3" s="461"/>
      <c r="M3" s="461"/>
      <c r="N3" s="461"/>
      <c r="O3" s="461"/>
      <c r="P3" s="461"/>
      <c r="Q3" s="461"/>
      <c r="R3" s="461"/>
    </row>
    <row r="4" spans="1:23" s="95" customFormat="1" x14ac:dyDescent="0.2">
      <c r="A4" s="418" t="s">
        <v>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</row>
    <row r="5" spans="1:23" s="95" customFormat="1" x14ac:dyDescent="0.2">
      <c r="A5" s="418" t="s">
        <v>836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</row>
    <row r="6" spans="1:23" s="95" customFormat="1" x14ac:dyDescent="0.2">
      <c r="A6" s="418" t="s">
        <v>327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</row>
    <row r="7" spans="1:23" s="95" customFormat="1" x14ac:dyDescent="0.2"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</row>
    <row r="8" spans="1:23" s="95" customFormat="1" x14ac:dyDescent="0.2">
      <c r="A8" s="456" t="s">
        <v>45</v>
      </c>
      <c r="B8" s="457" t="s">
        <v>28</v>
      </c>
      <c r="C8" s="458" t="s">
        <v>461</v>
      </c>
      <c r="D8" s="441">
        <v>111</v>
      </c>
      <c r="E8" s="441"/>
      <c r="F8" s="441"/>
      <c r="G8" s="207"/>
      <c r="H8" s="460" t="s">
        <v>245</v>
      </c>
      <c r="I8" s="164">
        <v>112</v>
      </c>
      <c r="J8" s="207">
        <v>119</v>
      </c>
      <c r="K8" s="208">
        <v>244</v>
      </c>
      <c r="L8" s="208">
        <v>244</v>
      </c>
      <c r="M8" s="208">
        <v>244</v>
      </c>
      <c r="N8" s="208">
        <v>244</v>
      </c>
      <c r="O8" s="441">
        <v>244</v>
      </c>
      <c r="P8" s="441"/>
      <c r="Q8" s="441" t="s">
        <v>487</v>
      </c>
      <c r="R8" s="441" t="s">
        <v>772</v>
      </c>
    </row>
    <row r="9" spans="1:23" s="95" customFormat="1" x14ac:dyDescent="0.2">
      <c r="A9" s="456"/>
      <c r="B9" s="457"/>
      <c r="C9" s="459"/>
      <c r="D9" s="442" t="s">
        <v>246</v>
      </c>
      <c r="E9" s="443"/>
      <c r="F9" s="443"/>
      <c r="G9" s="444"/>
      <c r="H9" s="460"/>
      <c r="I9" s="445" t="s">
        <v>314</v>
      </c>
      <c r="J9" s="447" t="s">
        <v>285</v>
      </c>
      <c r="K9" s="447" t="s">
        <v>299</v>
      </c>
      <c r="L9" s="450" t="s">
        <v>339</v>
      </c>
      <c r="M9" s="452" t="s">
        <v>323</v>
      </c>
      <c r="N9" s="450" t="s">
        <v>618</v>
      </c>
      <c r="O9" s="455" t="s">
        <v>318</v>
      </c>
      <c r="P9" s="455" t="s">
        <v>619</v>
      </c>
      <c r="Q9" s="441"/>
      <c r="R9" s="441"/>
    </row>
    <row r="10" spans="1:23" s="95" customFormat="1" ht="173.65" customHeight="1" thickBot="1" x14ac:dyDescent="0.25">
      <c r="A10" s="456"/>
      <c r="B10" s="457"/>
      <c r="C10" s="459"/>
      <c r="D10" s="136" t="s">
        <v>355</v>
      </c>
      <c r="E10" s="136" t="s">
        <v>356</v>
      </c>
      <c r="F10" s="136" t="s">
        <v>357</v>
      </c>
      <c r="G10" s="136" t="s">
        <v>362</v>
      </c>
      <c r="H10" s="460"/>
      <c r="I10" s="446"/>
      <c r="J10" s="448"/>
      <c r="K10" s="449"/>
      <c r="L10" s="451"/>
      <c r="M10" s="453"/>
      <c r="N10" s="454"/>
      <c r="O10" s="455"/>
      <c r="P10" s="455"/>
      <c r="Q10" s="441"/>
      <c r="R10" s="441"/>
    </row>
    <row r="11" spans="1:23" s="95" customFormat="1" ht="13.5" thickTop="1" x14ac:dyDescent="0.2">
      <c r="A11" s="94">
        <v>1</v>
      </c>
      <c r="B11" s="209" t="str">
        <f>[1]Школы!B9</f>
        <v>МКОУ "Алакский лицей"</v>
      </c>
      <c r="C11" s="147">
        <f t="shared" ref="C11:C18" si="0">SUM(H11:P11)</f>
        <v>25754059.071460873</v>
      </c>
      <c r="D11" s="147">
        <f>[1]Школы!CJ9</f>
        <v>1888022.4000000001</v>
      </c>
      <c r="E11" s="147">
        <f>SUM([1]Школы!BX9,[1]Школы!CD9)</f>
        <v>12513205.59129099</v>
      </c>
      <c r="F11" s="147">
        <f>[1]Школы!CO9</f>
        <v>952479</v>
      </c>
      <c r="G11" s="147">
        <f>[1]Школы!DF9</f>
        <v>4006184.4000000004</v>
      </c>
      <c r="H11" s="147">
        <f>SUM(D11:G11)</f>
        <v>19359891.391290992</v>
      </c>
      <c r="I11" s="147"/>
      <c r="J11" s="147">
        <f>H11*30.2%</f>
        <v>5846687.2001698799</v>
      </c>
      <c r="K11" s="167">
        <f>[1]Школы!FH9</f>
        <v>0</v>
      </c>
      <c r="L11" s="167"/>
      <c r="M11" s="94"/>
      <c r="N11" s="167">
        <f>[1]Школы!ED9</f>
        <v>547480.4800000001</v>
      </c>
      <c r="O11" s="147"/>
      <c r="P11" s="147"/>
      <c r="Q11" s="147">
        <f>C11</f>
        <v>25754059.071460873</v>
      </c>
      <c r="R11" s="147">
        <f>Q11</f>
        <v>25754059.071460873</v>
      </c>
      <c r="T11" s="97"/>
      <c r="U11" s="97"/>
      <c r="V11" s="97"/>
      <c r="W11" s="97"/>
    </row>
    <row r="12" spans="1:23" s="95" customFormat="1" x14ac:dyDescent="0.2">
      <c r="A12" s="210">
        <v>2</v>
      </c>
      <c r="B12" s="209" t="str">
        <f>[1]Школы!B10</f>
        <v>МКОУ "Андийская СОШ №1"</v>
      </c>
      <c r="C12" s="147">
        <f t="shared" si="0"/>
        <v>29368830.734027479</v>
      </c>
      <c r="D12" s="147">
        <f>[1]Школы!CJ10</f>
        <v>1954052.4000000001</v>
      </c>
      <c r="E12" s="147">
        <f>SUM([1]Школы!BX10,[1]Школы!CD10)</f>
        <v>13904020.783461964</v>
      </c>
      <c r="F12" s="147">
        <f>[1]Школы!CO10</f>
        <v>1261313.1000000001</v>
      </c>
      <c r="G12" s="147">
        <f>[1]Школы!DF10</f>
        <v>4992144.4800000004</v>
      </c>
      <c r="H12" s="147">
        <f t="shared" ref="H12:H41" si="1">SUM(D12:G12)</f>
        <v>22111530.763461966</v>
      </c>
      <c r="I12" s="147"/>
      <c r="J12" s="147">
        <f t="shared" ref="J12:J41" si="2">H12*30.2%</f>
        <v>6677682.290565514</v>
      </c>
      <c r="K12" s="167">
        <f>[1]Школы!FH10</f>
        <v>0</v>
      </c>
      <c r="L12" s="167"/>
      <c r="M12" s="94"/>
      <c r="N12" s="167">
        <f>[1]Школы!ED10</f>
        <v>579617.67999999993</v>
      </c>
      <c r="O12" s="147"/>
      <c r="P12" s="147"/>
      <c r="Q12" s="147">
        <f t="shared" ref="Q12:Q41" si="3">C12</f>
        <v>29368830.734027479</v>
      </c>
      <c r="R12" s="147">
        <f t="shared" ref="R12:R41" si="4">Q12</f>
        <v>29368830.734027479</v>
      </c>
      <c r="T12" s="97"/>
      <c r="U12" s="97"/>
      <c r="V12" s="97"/>
      <c r="W12" s="97"/>
    </row>
    <row r="13" spans="1:23" s="95" customFormat="1" x14ac:dyDescent="0.2">
      <c r="A13" s="94">
        <v>3</v>
      </c>
      <c r="B13" s="209" t="str">
        <f>[1]Школы!B11</f>
        <v>МКОУ "Андийская СОШ №2"</v>
      </c>
      <c r="C13" s="147">
        <f t="shared" si="0"/>
        <v>31468178.392402753</v>
      </c>
      <c r="D13" s="147">
        <f>[1]Школы!CJ11</f>
        <v>2591143.2000000002</v>
      </c>
      <c r="E13" s="147">
        <f>SUM([1]Школы!BX11,[1]Школы!CD11)</f>
        <v>15328230.77990995</v>
      </c>
      <c r="F13" s="147">
        <f>[1]Школы!CO11</f>
        <v>1128543.2999999998</v>
      </c>
      <c r="G13" s="147">
        <f>[1]Школы!DF11</f>
        <v>4660219.9800000004</v>
      </c>
      <c r="H13" s="147">
        <f t="shared" si="1"/>
        <v>23708137.25990995</v>
      </c>
      <c r="I13" s="147"/>
      <c r="J13" s="147">
        <f t="shared" si="2"/>
        <v>7159857.4524928052</v>
      </c>
      <c r="K13" s="167">
        <f>[1]Школы!FH11</f>
        <v>0</v>
      </c>
      <c r="L13" s="167"/>
      <c r="M13" s="94"/>
      <c r="N13" s="167">
        <f>[1]Школы!ED11</f>
        <v>600183.67999999993</v>
      </c>
      <c r="O13" s="147"/>
      <c r="P13" s="147"/>
      <c r="Q13" s="147">
        <f t="shared" si="3"/>
        <v>31468178.392402753</v>
      </c>
      <c r="R13" s="147">
        <f t="shared" si="4"/>
        <v>31468178.392402753</v>
      </c>
      <c r="T13" s="97"/>
      <c r="U13" s="97"/>
      <c r="V13" s="97"/>
      <c r="W13" s="97"/>
    </row>
    <row r="14" spans="1:23" s="95" customFormat="1" x14ac:dyDescent="0.2">
      <c r="A14" s="210">
        <v>4</v>
      </c>
      <c r="B14" s="209" t="str">
        <f>[1]Школы!B12</f>
        <v>МКОУ "Ансалтинская СОШ"</v>
      </c>
      <c r="C14" s="147">
        <f t="shared" si="0"/>
        <v>32752447.144032404</v>
      </c>
      <c r="D14" s="147">
        <f>[1]Школы!CJ12</f>
        <v>1947048</v>
      </c>
      <c r="E14" s="147">
        <f>SUM([1]Школы!BX12,[1]Школы!CD12)</f>
        <v>16683396.437505689</v>
      </c>
      <c r="F14" s="147">
        <f>[1]Школы!CO12</f>
        <v>1154520</v>
      </c>
      <c r="G14" s="147">
        <f>[1]Школы!DF12</f>
        <v>4802803.2</v>
      </c>
      <c r="H14" s="147">
        <f t="shared" si="1"/>
        <v>24587767.637505688</v>
      </c>
      <c r="I14" s="147"/>
      <c r="J14" s="147">
        <f t="shared" si="2"/>
        <v>7425505.8265267173</v>
      </c>
      <c r="K14" s="167">
        <f>[1]Школы!FH12</f>
        <v>0</v>
      </c>
      <c r="L14" s="167"/>
      <c r="M14" s="94"/>
      <c r="N14" s="167">
        <f>[1]Школы!ED12</f>
        <v>739173.68</v>
      </c>
      <c r="O14" s="147"/>
      <c r="P14" s="147"/>
      <c r="Q14" s="147">
        <f t="shared" si="3"/>
        <v>32752447.144032404</v>
      </c>
      <c r="R14" s="147">
        <f t="shared" si="4"/>
        <v>32752447.144032404</v>
      </c>
      <c r="T14" s="97"/>
      <c r="U14" s="97"/>
      <c r="V14" s="97"/>
      <c r="W14" s="97"/>
    </row>
    <row r="15" spans="1:23" s="95" customFormat="1" x14ac:dyDescent="0.2">
      <c r="A15" s="94">
        <v>5</v>
      </c>
      <c r="B15" s="209" t="str">
        <f>[1]Школы!B13</f>
        <v>МКОУ "Ботлихская СОШ №1"</v>
      </c>
      <c r="C15" s="147">
        <f t="shared" si="0"/>
        <v>42616563.422435679</v>
      </c>
      <c r="D15" s="147">
        <f>[1]Школы!CJ13</f>
        <v>2544084</v>
      </c>
      <c r="E15" s="147">
        <f>SUM([1]Школы!BX13,[1]Школы!CD13)</f>
        <v>23502815.411394533</v>
      </c>
      <c r="F15" s="147">
        <f>[1]Школы!CO13</f>
        <v>1269972</v>
      </c>
      <c r="G15" s="147">
        <f>[1]Школы!DF13</f>
        <v>4756622.4000000004</v>
      </c>
      <c r="H15" s="147">
        <f t="shared" si="1"/>
        <v>32073493.811394535</v>
      </c>
      <c r="I15" s="147"/>
      <c r="J15" s="147">
        <f t="shared" si="2"/>
        <v>9686195.1310411487</v>
      </c>
      <c r="K15" s="167">
        <f>[1]Школы!FH13</f>
        <v>0</v>
      </c>
      <c r="L15" s="167"/>
      <c r="M15" s="94"/>
      <c r="N15" s="167">
        <f>[1]Школы!ED13</f>
        <v>856874.47999999986</v>
      </c>
      <c r="O15" s="147"/>
      <c r="P15" s="147"/>
      <c r="Q15" s="147">
        <f t="shared" si="3"/>
        <v>42616563.422435679</v>
      </c>
      <c r="R15" s="147">
        <f t="shared" si="4"/>
        <v>42616563.422435679</v>
      </c>
      <c r="T15" s="97"/>
      <c r="U15" s="97"/>
      <c r="V15" s="97"/>
      <c r="W15" s="97"/>
    </row>
    <row r="16" spans="1:23" s="95" customFormat="1" x14ac:dyDescent="0.2">
      <c r="A16" s="210">
        <v>6</v>
      </c>
      <c r="B16" s="209" t="str">
        <f>[1]Школы!B14</f>
        <v>МКОУ "Ботлихская СОШ №2"</v>
      </c>
      <c r="C16" s="147">
        <f t="shared" si="0"/>
        <v>41103036.239316359</v>
      </c>
      <c r="D16" s="147">
        <f>[1]Школы!CJ14</f>
        <v>2409036</v>
      </c>
      <c r="E16" s="147">
        <f>SUM([1]Школы!BX14,[1]Школы!CD14)</f>
        <v>23725768.487954192</v>
      </c>
      <c r="F16" s="147">
        <f>[1]Школы!CO14</f>
        <v>1154520</v>
      </c>
      <c r="G16" s="147">
        <f>[1]Школы!DF14</f>
        <v>3636738</v>
      </c>
      <c r="H16" s="147">
        <f t="shared" si="1"/>
        <v>30926062.487954192</v>
      </c>
      <c r="I16" s="147"/>
      <c r="J16" s="147">
        <f t="shared" si="2"/>
        <v>9339670.8713621665</v>
      </c>
      <c r="K16" s="167">
        <f>[1]Школы!FH14</f>
        <v>0</v>
      </c>
      <c r="L16" s="167"/>
      <c r="M16" s="94"/>
      <c r="N16" s="167">
        <f>[1]Школы!ED14</f>
        <v>837302.88</v>
      </c>
      <c r="O16" s="147"/>
      <c r="P16" s="147"/>
      <c r="Q16" s="147">
        <f t="shared" si="3"/>
        <v>41103036.239316359</v>
      </c>
      <c r="R16" s="147">
        <f t="shared" si="4"/>
        <v>41103036.239316359</v>
      </c>
      <c r="T16" s="97"/>
      <c r="U16" s="97"/>
      <c r="V16" s="97"/>
      <c r="W16" s="97"/>
    </row>
    <row r="17" spans="1:25" s="95" customFormat="1" x14ac:dyDescent="0.2">
      <c r="A17" s="94">
        <v>7</v>
      </c>
      <c r="B17" s="209" t="str">
        <f>[1]Школы!B15</f>
        <v>МКОУ "Ботлихская СОШ №3"</v>
      </c>
      <c r="C17" s="147">
        <f t="shared" si="0"/>
        <v>14472049.470542477</v>
      </c>
      <c r="D17" s="147">
        <f>[1]Школы!CJ15</f>
        <v>1253328</v>
      </c>
      <c r="E17" s="147">
        <f>SUM([1]Школы!BX15,[1]Школы!CD15)</f>
        <v>6352022.0984197222</v>
      </c>
      <c r="F17" s="147">
        <f>[1]Школы!CO15</f>
        <v>923616</v>
      </c>
      <c r="G17" s="147">
        <f>[1]Школы!DF15</f>
        <v>2320585.2000000002</v>
      </c>
      <c r="H17" s="147">
        <f t="shared" si="1"/>
        <v>10849551.298419721</v>
      </c>
      <c r="I17" s="147"/>
      <c r="J17" s="147">
        <f t="shared" si="2"/>
        <v>3276564.4921227559</v>
      </c>
      <c r="K17" s="167">
        <f>[1]Школы!FH15</f>
        <v>0</v>
      </c>
      <c r="L17" s="167"/>
      <c r="M17" s="94"/>
      <c r="N17" s="167">
        <f>[1]Школы!ED15</f>
        <v>345933.68</v>
      </c>
      <c r="O17" s="147"/>
      <c r="P17" s="147"/>
      <c r="Q17" s="147">
        <f t="shared" si="3"/>
        <v>14472049.470542477</v>
      </c>
      <c r="R17" s="147">
        <f t="shared" si="4"/>
        <v>14472049.470542477</v>
      </c>
      <c r="T17" s="97"/>
      <c r="U17" s="97"/>
      <c r="V17" s="97"/>
      <c r="W17" s="97"/>
    </row>
    <row r="18" spans="1:25" s="95" customFormat="1" x14ac:dyDescent="0.2">
      <c r="A18" s="210">
        <v>8</v>
      </c>
      <c r="B18" s="209" t="str">
        <f>[1]Школы!B16</f>
        <v>МКОУ "Гагатлинская СОШ"</v>
      </c>
      <c r="C18" s="147">
        <f t="shared" si="0"/>
        <v>26219195.148555029</v>
      </c>
      <c r="D18" s="147">
        <f>[1]Школы!CJ16</f>
        <v>1984274.4000000001</v>
      </c>
      <c r="E18" s="147">
        <f>SUM([1]Школы!BX16,[1]Школы!CD16)</f>
        <v>12663785.016186658</v>
      </c>
      <c r="F18" s="147">
        <f>[1]Школы!CO16</f>
        <v>995773.5</v>
      </c>
      <c r="G18" s="147">
        <f>[1]Школы!DF16</f>
        <v>4089309.84</v>
      </c>
      <c r="H18" s="147">
        <f t="shared" si="1"/>
        <v>19733142.756186657</v>
      </c>
      <c r="I18" s="147"/>
      <c r="J18" s="147">
        <f t="shared" si="2"/>
        <v>5959409.1123683704</v>
      </c>
      <c r="K18" s="167">
        <f>[1]Школы!FH16</f>
        <v>0</v>
      </c>
      <c r="L18" s="167"/>
      <c r="M18" s="94"/>
      <c r="N18" s="167">
        <f>[1]Школы!ED16</f>
        <v>526643.28</v>
      </c>
      <c r="O18" s="147"/>
      <c r="P18" s="147"/>
      <c r="Q18" s="147">
        <f t="shared" si="3"/>
        <v>26219195.148555029</v>
      </c>
      <c r="R18" s="147">
        <f t="shared" si="4"/>
        <v>26219195.148555029</v>
      </c>
      <c r="T18" s="97"/>
      <c r="U18" s="97"/>
      <c r="V18" s="97"/>
      <c r="W18" s="97"/>
    </row>
    <row r="19" spans="1:25" s="95" customFormat="1" x14ac:dyDescent="0.2">
      <c r="A19" s="94">
        <v>9</v>
      </c>
      <c r="B19" s="209" t="str">
        <f>[1]Школы!B17</f>
        <v>МКОУ "Годоберинская СОШ"</v>
      </c>
      <c r="C19" s="147">
        <f t="shared" ref="C19:C41" si="5">SUM(H19:P19)</f>
        <v>34348623.311508588</v>
      </c>
      <c r="D19" s="147">
        <f>[1]Школы!CJ17</f>
        <v>2346248.4000000004</v>
      </c>
      <c r="E19" s="147">
        <f>SUM([1]Школы!BX17,[1]Школы!CD17)</f>
        <v>16790029.12364715</v>
      </c>
      <c r="F19" s="147">
        <f>[1]Школы!CO17</f>
        <v>929388.60000000009</v>
      </c>
      <c r="G19" s="147">
        <f>[1]Школы!DF17</f>
        <v>5802040.2599999998</v>
      </c>
      <c r="H19" s="147">
        <f t="shared" si="1"/>
        <v>25867706.383647151</v>
      </c>
      <c r="I19" s="147"/>
      <c r="J19" s="147">
        <f t="shared" si="2"/>
        <v>7812047.3278614394</v>
      </c>
      <c r="K19" s="167">
        <f>[1]Школы!FH17</f>
        <v>0</v>
      </c>
      <c r="L19" s="167"/>
      <c r="M19" s="94"/>
      <c r="N19" s="167">
        <f>[1]Школы!ED17</f>
        <v>668869.6</v>
      </c>
      <c r="O19" s="147"/>
      <c r="P19" s="147"/>
      <c r="Q19" s="147">
        <f t="shared" si="3"/>
        <v>34348623.311508588</v>
      </c>
      <c r="R19" s="147">
        <f t="shared" si="4"/>
        <v>34348623.311508588</v>
      </c>
      <c r="T19" s="97"/>
      <c r="U19" s="97"/>
      <c r="V19" s="97"/>
      <c r="W19" s="97"/>
    </row>
    <row r="20" spans="1:25" s="95" customFormat="1" x14ac:dyDescent="0.2">
      <c r="A20" s="210">
        <v>10</v>
      </c>
      <c r="B20" s="209" t="str">
        <f>[1]Школы!B18</f>
        <v>МКОУ "Зиловская СОШ"</v>
      </c>
      <c r="C20" s="147">
        <f t="shared" si="5"/>
        <v>16097131.671273932</v>
      </c>
      <c r="D20" s="147">
        <f>[1]Школы!CJ18</f>
        <v>1448310</v>
      </c>
      <c r="E20" s="147">
        <f>SUM([1]Школы!BX18,[1]Школы!CD18)</f>
        <v>6654698.8689354323</v>
      </c>
      <c r="F20" s="147">
        <f>[1]Школы!CO18</f>
        <v>531079.19999999995</v>
      </c>
      <c r="G20" s="147">
        <f>[1]Школы!DF18</f>
        <v>3478568.76</v>
      </c>
      <c r="H20" s="147">
        <f t="shared" si="1"/>
        <v>12112656.828935431</v>
      </c>
      <c r="I20" s="147"/>
      <c r="J20" s="147">
        <f t="shared" si="2"/>
        <v>3658022.3623385001</v>
      </c>
      <c r="K20" s="167">
        <f>[1]Школы!FH18</f>
        <v>0</v>
      </c>
      <c r="L20" s="167"/>
      <c r="M20" s="94"/>
      <c r="N20" s="167">
        <f>[1]Школы!ED18</f>
        <v>326452.47999999998</v>
      </c>
      <c r="O20" s="147"/>
      <c r="P20" s="147"/>
      <c r="Q20" s="147">
        <f t="shared" si="3"/>
        <v>16097131.671273932</v>
      </c>
      <c r="R20" s="147">
        <f t="shared" si="4"/>
        <v>16097131.671273932</v>
      </c>
      <c r="T20" s="97"/>
      <c r="U20" s="97"/>
      <c r="V20" s="97"/>
      <c r="W20" s="97"/>
    </row>
    <row r="21" spans="1:25" s="95" customFormat="1" x14ac:dyDescent="0.2">
      <c r="A21" s="94">
        <v>11</v>
      </c>
      <c r="B21" s="209" t="str">
        <f>[1]Школы!B19</f>
        <v>МКОУ "Миарсинская СОШ"</v>
      </c>
      <c r="C21" s="147">
        <f t="shared" si="5"/>
        <v>21907854.44394128</v>
      </c>
      <c r="D21" s="147">
        <f>[1]Школы!CJ19</f>
        <v>1304004</v>
      </c>
      <c r="E21" s="147">
        <f>SUM([1]Школы!BX19,[1]Школы!CD19)</f>
        <v>10742058.297343532</v>
      </c>
      <c r="F21" s="147">
        <f>[1]Школы!CO19</f>
        <v>692712</v>
      </c>
      <c r="G21" s="147">
        <f>[1]Школы!DF19</f>
        <v>3717554.4000000004</v>
      </c>
      <c r="H21" s="147">
        <f t="shared" si="1"/>
        <v>16456328.697343532</v>
      </c>
      <c r="I21" s="147"/>
      <c r="J21" s="147">
        <f t="shared" si="2"/>
        <v>4969811.2665977469</v>
      </c>
      <c r="K21" s="167">
        <f>[1]Школы!FH19</f>
        <v>0</v>
      </c>
      <c r="L21" s="167"/>
      <c r="M21" s="94"/>
      <c r="N21" s="167">
        <f>[1]Школы!ED19</f>
        <v>481714.48</v>
      </c>
      <c r="O21" s="147"/>
      <c r="P21" s="147"/>
      <c r="Q21" s="147">
        <f t="shared" si="3"/>
        <v>21907854.44394128</v>
      </c>
      <c r="R21" s="147">
        <f t="shared" si="4"/>
        <v>21907854.44394128</v>
      </c>
      <c r="T21" s="97"/>
      <c r="U21" s="97"/>
      <c r="V21" s="97"/>
      <c r="W21" s="97"/>
    </row>
    <row r="22" spans="1:25" s="95" customFormat="1" x14ac:dyDescent="0.2">
      <c r="A22" s="210">
        <v>12</v>
      </c>
      <c r="B22" s="209" t="str">
        <f>[1]Школы!B20</f>
        <v>МКОУ "Мунинская СОШ"</v>
      </c>
      <c r="C22" s="147">
        <f t="shared" si="5"/>
        <v>30816157.0940281</v>
      </c>
      <c r="D22" s="147">
        <f>[1]Школы!CJ20</f>
        <v>1668756</v>
      </c>
      <c r="E22" s="147">
        <f>SUM([1]Школы!BX20,[1]Школы!CD20)</f>
        <v>17099778.878362596</v>
      </c>
      <c r="F22" s="147">
        <f>[1]Школы!CO20</f>
        <v>981342</v>
      </c>
      <c r="G22" s="147">
        <f>[1]Школы!DF20</f>
        <v>3417379.2</v>
      </c>
      <c r="H22" s="147">
        <f t="shared" si="1"/>
        <v>23167256.078362595</v>
      </c>
      <c r="I22" s="147"/>
      <c r="J22" s="147">
        <f t="shared" si="2"/>
        <v>6996511.3356655035</v>
      </c>
      <c r="K22" s="167">
        <f>[1]Школы!FH20</f>
        <v>0</v>
      </c>
      <c r="L22" s="167"/>
      <c r="M22" s="94"/>
      <c r="N22" s="167">
        <f>[1]Школы!ED20</f>
        <v>652389.67999999993</v>
      </c>
      <c r="O22" s="147"/>
      <c r="P22" s="147"/>
      <c r="Q22" s="147">
        <f t="shared" si="3"/>
        <v>30816157.0940281</v>
      </c>
      <c r="R22" s="147">
        <f t="shared" si="4"/>
        <v>30816157.0940281</v>
      </c>
      <c r="T22" s="97"/>
      <c r="U22" s="97"/>
      <c r="V22" s="97"/>
      <c r="W22" s="97"/>
    </row>
    <row r="23" spans="1:25" s="95" customFormat="1" x14ac:dyDescent="0.2">
      <c r="A23" s="94">
        <v>13</v>
      </c>
      <c r="B23" s="209" t="str">
        <f>[1]Школы!B21</f>
        <v>МКОУ "Ортаколинская СОШ"</v>
      </c>
      <c r="C23" s="147">
        <f t="shared" si="5"/>
        <v>15217624.410664156</v>
      </c>
      <c r="D23" s="147">
        <f>[1]Школы!CJ21</f>
        <v>831048</v>
      </c>
      <c r="E23" s="147">
        <f>SUM([1]Школы!BX21,[1]Школы!CD21)</f>
        <v>7164161.1872996585</v>
      </c>
      <c r="F23" s="147">
        <f>[1]Школы!CO21</f>
        <v>519534</v>
      </c>
      <c r="G23" s="147">
        <f>[1]Школы!DF21</f>
        <v>2909390.4</v>
      </c>
      <c r="H23" s="147">
        <f t="shared" si="1"/>
        <v>11424133.587299658</v>
      </c>
      <c r="I23" s="147"/>
      <c r="J23" s="147">
        <f t="shared" si="2"/>
        <v>3450088.3433644967</v>
      </c>
      <c r="K23" s="167">
        <f>[1]Школы!FH21</f>
        <v>0</v>
      </c>
      <c r="L23" s="167"/>
      <c r="M23" s="94"/>
      <c r="N23" s="167">
        <f>[1]Школы!ED21</f>
        <v>343402.48</v>
      </c>
      <c r="O23" s="147"/>
      <c r="P23" s="147"/>
      <c r="Q23" s="147">
        <f t="shared" si="3"/>
        <v>15217624.410664156</v>
      </c>
      <c r="R23" s="147">
        <f t="shared" si="4"/>
        <v>15217624.410664156</v>
      </c>
      <c r="T23" s="97"/>
      <c r="U23" s="97"/>
      <c r="V23" s="97"/>
      <c r="W23" s="97"/>
    </row>
    <row r="24" spans="1:25" s="95" customFormat="1" x14ac:dyDescent="0.2">
      <c r="A24" s="210">
        <v>14</v>
      </c>
      <c r="B24" s="209" t="str">
        <f>[1]Школы!B22</f>
        <v>МКОУ "Рахатинская СОШ"</v>
      </c>
      <c r="C24" s="147">
        <f t="shared" si="5"/>
        <v>31219512.407716163</v>
      </c>
      <c r="D24" s="147">
        <f>[1]Школы!CJ22</f>
        <v>2135832</v>
      </c>
      <c r="E24" s="147">
        <f>SUM([1]Школы!BX22,[1]Школы!CD22)</f>
        <v>15169234.179198284</v>
      </c>
      <c r="F24" s="147">
        <f>[1]Школы!CO22</f>
        <v>1154520</v>
      </c>
      <c r="G24" s="147">
        <f>[1]Школы!DF22</f>
        <v>4975981.2</v>
      </c>
      <c r="H24" s="147">
        <f t="shared" si="1"/>
        <v>23435567.379198283</v>
      </c>
      <c r="I24" s="147"/>
      <c r="J24" s="147">
        <f t="shared" si="2"/>
        <v>7077541.3485178808</v>
      </c>
      <c r="K24" s="167">
        <f>[1]Школы!FH22</f>
        <v>0</v>
      </c>
      <c r="L24" s="167"/>
      <c r="M24" s="94"/>
      <c r="N24" s="167">
        <f>[1]Школы!ED22</f>
        <v>706403.67999999993</v>
      </c>
      <c r="O24" s="147"/>
      <c r="P24" s="147"/>
      <c r="Q24" s="147">
        <f t="shared" si="3"/>
        <v>31219512.407716163</v>
      </c>
      <c r="R24" s="147">
        <f t="shared" si="4"/>
        <v>31219512.407716163</v>
      </c>
      <c r="T24" s="97"/>
      <c r="U24" s="97"/>
      <c r="V24" s="97"/>
      <c r="W24" s="97"/>
    </row>
    <row r="25" spans="1:25" s="95" customFormat="1" x14ac:dyDescent="0.2">
      <c r="A25" s="94">
        <v>15</v>
      </c>
      <c r="B25" s="209" t="str">
        <f>[1]Школы!B23</f>
        <v>МКОУ "Рикванинская СОШ"</v>
      </c>
      <c r="C25" s="147">
        <f t="shared" si="5"/>
        <v>11995213.359809931</v>
      </c>
      <c r="D25" s="147">
        <f>[1]Школы!CJ23</f>
        <v>935998.79999999993</v>
      </c>
      <c r="E25" s="147">
        <f>SUM([1]Школы!BX23,[1]Школы!CD23)</f>
        <v>5370098.4565360472</v>
      </c>
      <c r="F25" s="147">
        <f>[1]Школы!CO23</f>
        <v>531079.19999999995</v>
      </c>
      <c r="G25" s="147">
        <f>[1]Школы!DF23</f>
        <v>2190701.7000000002</v>
      </c>
      <c r="H25" s="147">
        <f t="shared" si="1"/>
        <v>9027878.1565360464</v>
      </c>
      <c r="I25" s="147"/>
      <c r="J25" s="147">
        <f t="shared" si="2"/>
        <v>2726419.2032738859</v>
      </c>
      <c r="K25" s="167">
        <f>[1]Школы!FH23</f>
        <v>0</v>
      </c>
      <c r="L25" s="167"/>
      <c r="M25" s="94"/>
      <c r="N25" s="167">
        <f>[1]Школы!ED23</f>
        <v>240916</v>
      </c>
      <c r="O25" s="147"/>
      <c r="P25" s="147"/>
      <c r="Q25" s="147">
        <f t="shared" si="3"/>
        <v>11995213.359809931</v>
      </c>
      <c r="R25" s="147">
        <f t="shared" si="4"/>
        <v>11995213.359809931</v>
      </c>
      <c r="T25" s="97"/>
      <c r="U25" s="97"/>
      <c r="V25" s="97"/>
      <c r="W25" s="97"/>
    </row>
    <row r="26" spans="1:25" s="95" customFormat="1" x14ac:dyDescent="0.2">
      <c r="A26" s="210">
        <v>16</v>
      </c>
      <c r="B26" s="209" t="str">
        <f>[1]Школы!B24</f>
        <v>МКОУ "Тандовская СОШ"</v>
      </c>
      <c r="C26" s="147">
        <f t="shared" si="5"/>
        <v>12433312.790170586</v>
      </c>
      <c r="D26" s="147">
        <f>[1]Школы!CJ24</f>
        <v>811404</v>
      </c>
      <c r="E26" s="147">
        <f>SUM([1]Школы!BX24,[1]Школы!CD24)</f>
        <v>5783213.8308529854</v>
      </c>
      <c r="F26" s="147">
        <f>[1]Школы!CO24</f>
        <v>461808</v>
      </c>
      <c r="G26" s="147">
        <f>[1]Школы!DF24</f>
        <v>2262859.2000000002</v>
      </c>
      <c r="H26" s="147">
        <f t="shared" si="1"/>
        <v>9319285.0308529846</v>
      </c>
      <c r="I26" s="147"/>
      <c r="J26" s="147">
        <f t="shared" si="2"/>
        <v>2814424.0793176014</v>
      </c>
      <c r="K26" s="167">
        <f>[1]Школы!FH24</f>
        <v>0</v>
      </c>
      <c r="L26" s="167"/>
      <c r="M26" s="94"/>
      <c r="N26" s="167">
        <f>[1]Школы!ED24</f>
        <v>299603.67999999993</v>
      </c>
      <c r="O26" s="147"/>
      <c r="P26" s="147"/>
      <c r="Q26" s="147">
        <f t="shared" si="3"/>
        <v>12433312.790170586</v>
      </c>
      <c r="R26" s="147">
        <f t="shared" si="4"/>
        <v>12433312.790170586</v>
      </c>
      <c r="T26" s="97"/>
      <c r="U26" s="97"/>
      <c r="V26" s="97"/>
      <c r="W26" s="97"/>
      <c r="Y26" s="211" t="s">
        <v>33</v>
      </c>
    </row>
    <row r="27" spans="1:25" s="95" customFormat="1" x14ac:dyDescent="0.2">
      <c r="A27" s="94">
        <v>17</v>
      </c>
      <c r="B27" s="209" t="str">
        <f>[1]Школы!B25</f>
        <v>МКОУ "Тлохская СОШ"</v>
      </c>
      <c r="C27" s="147">
        <f t="shared" si="5"/>
        <v>32553500.802762482</v>
      </c>
      <c r="D27" s="147">
        <f>[1]Школы!CJ25</f>
        <v>2091060</v>
      </c>
      <c r="E27" s="147">
        <f>SUM([1]Школы!BX25,[1]Школы!CD25)</f>
        <v>16968996.978465807</v>
      </c>
      <c r="F27" s="147">
        <f>[1]Школы!CO25</f>
        <v>923616</v>
      </c>
      <c r="G27" s="147">
        <f>[1]Школы!DF25</f>
        <v>4467992.4000000004</v>
      </c>
      <c r="H27" s="147">
        <f t="shared" si="1"/>
        <v>24451665.378465809</v>
      </c>
      <c r="I27" s="147"/>
      <c r="J27" s="147">
        <f t="shared" si="2"/>
        <v>7384402.9442966739</v>
      </c>
      <c r="K27" s="167">
        <f>[1]Школы!FH25</f>
        <v>0</v>
      </c>
      <c r="L27" s="167"/>
      <c r="M27" s="94"/>
      <c r="N27" s="167">
        <f>[1]Школы!ED25</f>
        <v>717432.48</v>
      </c>
      <c r="O27" s="147"/>
      <c r="P27" s="147"/>
      <c r="Q27" s="147">
        <f t="shared" si="3"/>
        <v>32553500.802762482</v>
      </c>
      <c r="R27" s="147">
        <f t="shared" si="4"/>
        <v>32553500.802762482</v>
      </c>
      <c r="T27" s="97"/>
      <c r="U27" s="97"/>
      <c r="V27" s="97"/>
      <c r="W27" s="97"/>
    </row>
    <row r="28" spans="1:25" s="95" customFormat="1" x14ac:dyDescent="0.2">
      <c r="A28" s="210">
        <v>18</v>
      </c>
      <c r="B28" s="209" t="str">
        <f>[1]Школы!B26</f>
        <v>МКОУ "Хелетуринская СОШ"</v>
      </c>
      <c r="C28" s="147">
        <f t="shared" si="5"/>
        <v>12924609.197320303</v>
      </c>
      <c r="D28" s="147">
        <f>[1]Школы!CJ26</f>
        <v>644142.60000000009</v>
      </c>
      <c r="E28" s="147">
        <f>SUM([1]Школы!BX26,[1]Школы!CD26)</f>
        <v>6204197.8992321864</v>
      </c>
      <c r="F28" s="147">
        <f>[1]Школы!CO26</f>
        <v>265539.59999999998</v>
      </c>
      <c r="G28" s="147">
        <f>[1]Школы!DF26</f>
        <v>2615565.0599999996</v>
      </c>
      <c r="H28" s="147">
        <f t="shared" si="1"/>
        <v>9729445.1592321843</v>
      </c>
      <c r="I28" s="147"/>
      <c r="J28" s="147">
        <f t="shared" si="2"/>
        <v>2938292.4380881195</v>
      </c>
      <c r="K28" s="167">
        <f>[1]Школы!FH26</f>
        <v>0</v>
      </c>
      <c r="L28" s="167"/>
      <c r="M28" s="94"/>
      <c r="N28" s="167">
        <f>[1]Школы!ED26</f>
        <v>256871.6</v>
      </c>
      <c r="O28" s="147"/>
      <c r="P28" s="147"/>
      <c r="Q28" s="147">
        <f t="shared" si="3"/>
        <v>12924609.197320303</v>
      </c>
      <c r="R28" s="147">
        <f t="shared" si="4"/>
        <v>12924609.197320303</v>
      </c>
      <c r="T28" s="97"/>
      <c r="U28" s="97"/>
      <c r="V28" s="97"/>
      <c r="W28" s="97"/>
    </row>
    <row r="29" spans="1:25" s="95" customFormat="1" x14ac:dyDescent="0.2">
      <c r="A29" s="94">
        <v>19</v>
      </c>
      <c r="B29" s="209" t="str">
        <f>[1]Школы!B27</f>
        <v>МКОУ "Чанковская СОШ"</v>
      </c>
      <c r="C29" s="147">
        <f t="shared" si="5"/>
        <v>11697205.741712363</v>
      </c>
      <c r="D29" s="147">
        <f>[1]Школы!CJ27</f>
        <v>929361</v>
      </c>
      <c r="E29" s="147">
        <f>SUM([1]Школы!BX27,[1]Школы!CD27)</f>
        <v>5784572.1643259311</v>
      </c>
      <c r="F29" s="147">
        <f>[1]Школы!CO27</f>
        <v>132769.79999999999</v>
      </c>
      <c r="G29" s="147">
        <f>[1]Школы!DF27</f>
        <v>1938439.08</v>
      </c>
      <c r="H29" s="147">
        <f t="shared" si="1"/>
        <v>8785142.044325931</v>
      </c>
      <c r="I29" s="147"/>
      <c r="J29" s="147">
        <f t="shared" si="2"/>
        <v>2653112.8973864312</v>
      </c>
      <c r="K29" s="167">
        <f>[1]Школы!FH27</f>
        <v>0</v>
      </c>
      <c r="L29" s="167"/>
      <c r="M29" s="94"/>
      <c r="N29" s="167">
        <f>[1]Школы!ED27</f>
        <v>258950.80000000002</v>
      </c>
      <c r="O29" s="147"/>
      <c r="P29" s="147"/>
      <c r="Q29" s="147">
        <f t="shared" si="3"/>
        <v>11697205.741712363</v>
      </c>
      <c r="R29" s="147">
        <f t="shared" si="4"/>
        <v>11697205.741712363</v>
      </c>
      <c r="T29" s="97"/>
      <c r="U29" s="97"/>
      <c r="V29" s="97"/>
      <c r="W29" s="97"/>
    </row>
    <row r="30" spans="1:25" s="95" customFormat="1" x14ac:dyDescent="0.2">
      <c r="A30" s="210">
        <v>20</v>
      </c>
      <c r="B30" s="209" t="str">
        <f>[1]Школы!B28</f>
        <v>МКОУ "Шодродинская СОШ"</v>
      </c>
      <c r="C30" s="147">
        <f t="shared" si="5"/>
        <v>13123967.124947993</v>
      </c>
      <c r="D30" s="147">
        <f>[1]Школы!CJ28</f>
        <v>828960</v>
      </c>
      <c r="E30" s="147">
        <f>SUM([1]Школы!BX28,[1]Школы!CD28)</f>
        <v>5892532.2170107458</v>
      </c>
      <c r="F30" s="147">
        <f>[1]Школы!CO28</f>
        <v>461808</v>
      </c>
      <c r="G30" s="147">
        <f>[1]Школы!DF28</f>
        <v>2666941.2000000002</v>
      </c>
      <c r="H30" s="147">
        <f t="shared" si="1"/>
        <v>9850241.4170107469</v>
      </c>
      <c r="I30" s="147"/>
      <c r="J30" s="147">
        <f t="shared" si="2"/>
        <v>2974772.9079372454</v>
      </c>
      <c r="K30" s="167">
        <f>[1]Школы!FH28</f>
        <v>0</v>
      </c>
      <c r="L30" s="167"/>
      <c r="M30" s="94"/>
      <c r="N30" s="167">
        <f>[1]Школы!ED28</f>
        <v>298952.8</v>
      </c>
      <c r="O30" s="147"/>
      <c r="P30" s="147"/>
      <c r="Q30" s="147">
        <f t="shared" si="3"/>
        <v>13123967.124947993</v>
      </c>
      <c r="R30" s="147">
        <f t="shared" si="4"/>
        <v>13123967.124947993</v>
      </c>
      <c r="T30" s="97"/>
      <c r="U30" s="97"/>
      <c r="V30" s="97"/>
      <c r="W30" s="97"/>
    </row>
    <row r="31" spans="1:25" s="95" customFormat="1" x14ac:dyDescent="0.2">
      <c r="A31" s="94">
        <v>21</v>
      </c>
      <c r="B31" s="209" t="str">
        <f>[1]Школы!B30</f>
        <v>МКОУ "Ашалинская ООШ"</v>
      </c>
      <c r="C31" s="147">
        <f t="shared" si="5"/>
        <v>11587442.893817605</v>
      </c>
      <c r="D31" s="147">
        <f>[1]Школы!CJ30</f>
        <v>919645.79999999993</v>
      </c>
      <c r="E31" s="147">
        <f>SUM([1]Школы!BX30,[1]Школы!CD30)</f>
        <v>5399756.990366823</v>
      </c>
      <c r="F31" s="147">
        <f>[1]Школы!CO30</f>
        <v>398309.39999999997</v>
      </c>
      <c r="G31" s="147">
        <f>[1]Школы!DF30</f>
        <v>2004823.98</v>
      </c>
      <c r="H31" s="147">
        <f t="shared" si="1"/>
        <v>8722536.1703668237</v>
      </c>
      <c r="I31" s="147"/>
      <c r="J31" s="147">
        <f t="shared" si="2"/>
        <v>2634205.9234507806</v>
      </c>
      <c r="K31" s="167">
        <f>[1]Школы!FH29</f>
        <v>0</v>
      </c>
      <c r="L31" s="167"/>
      <c r="M31" s="94"/>
      <c r="N31" s="167">
        <f>[1]Школы!ED30</f>
        <v>230700.79999999999</v>
      </c>
      <c r="O31" s="147"/>
      <c r="P31" s="147"/>
      <c r="Q31" s="147">
        <f t="shared" si="3"/>
        <v>11587442.893817605</v>
      </c>
      <c r="R31" s="147">
        <f t="shared" si="4"/>
        <v>11587442.893817605</v>
      </c>
      <c r="T31" s="97"/>
      <c r="U31" s="97"/>
      <c r="V31" s="97"/>
      <c r="W31" s="97"/>
    </row>
    <row r="32" spans="1:25" s="95" customFormat="1" x14ac:dyDescent="0.2">
      <c r="A32" s="210">
        <v>22</v>
      </c>
      <c r="B32" s="209" t="str">
        <f>[1]Школы!B31</f>
        <v>МКОУ "Кванхидатлинская ООШ"</v>
      </c>
      <c r="C32" s="147">
        <f t="shared" si="5"/>
        <v>9613665.6568767317</v>
      </c>
      <c r="D32" s="147">
        <f>[1]Школы!CJ31</f>
        <v>609396</v>
      </c>
      <c r="E32" s="147">
        <f>SUM([1]Школы!BX31,[1]Школы!CD31)</f>
        <v>4737557.965035893</v>
      </c>
      <c r="F32" s="147">
        <f>[1]Школы!CO31</f>
        <v>115452</v>
      </c>
      <c r="G32" s="147">
        <f>[1]Школы!DF31</f>
        <v>1743325.2000000002</v>
      </c>
      <c r="H32" s="147">
        <f t="shared" si="1"/>
        <v>7205731.1650358932</v>
      </c>
      <c r="I32" s="147"/>
      <c r="J32" s="147">
        <f t="shared" si="2"/>
        <v>2176130.8118408397</v>
      </c>
      <c r="K32" s="167">
        <f>[1]Школы!FH30</f>
        <v>0</v>
      </c>
      <c r="L32" s="167"/>
      <c r="M32" s="94"/>
      <c r="N32" s="167">
        <f>[1]Школы!ED31</f>
        <v>231803.68</v>
      </c>
      <c r="O32" s="147"/>
      <c r="P32" s="147"/>
      <c r="Q32" s="147">
        <f t="shared" si="3"/>
        <v>9613665.6568767317</v>
      </c>
      <c r="R32" s="147">
        <f t="shared" si="4"/>
        <v>9613665.6568767317</v>
      </c>
      <c r="T32" s="97"/>
      <c r="U32" s="97"/>
      <c r="V32" s="97"/>
      <c r="W32" s="97"/>
    </row>
    <row r="33" spans="1:23" s="95" customFormat="1" x14ac:dyDescent="0.2">
      <c r="A33" s="94">
        <v>23</v>
      </c>
      <c r="B33" s="209" t="str">
        <f>[1]Школы!B32</f>
        <v>МКОУ "Тасутинская ООШ"</v>
      </c>
      <c r="C33" s="147">
        <f t="shared" si="5"/>
        <v>10337540.93258529</v>
      </c>
      <c r="D33" s="147">
        <f>[1]Школы!CJ32</f>
        <v>725962.8</v>
      </c>
      <c r="E33" s="147">
        <f>SUM([1]Школы!BX32,[1]Школы!CD32)</f>
        <v>5383475.7634602841</v>
      </c>
      <c r="F33" s="147">
        <f>[1]Школы!CO32</f>
        <v>132769.79999999999</v>
      </c>
      <c r="G33" s="147">
        <f>[1]Школы!DF32</f>
        <v>1540129.6799999997</v>
      </c>
      <c r="H33" s="147">
        <f t="shared" si="1"/>
        <v>7782338.0434602834</v>
      </c>
      <c r="I33" s="147"/>
      <c r="J33" s="147">
        <f t="shared" si="2"/>
        <v>2350266.0891250055</v>
      </c>
      <c r="K33" s="167">
        <f>[1]Школы!FH31</f>
        <v>0</v>
      </c>
      <c r="L33" s="167"/>
      <c r="M33" s="94"/>
      <c r="N33" s="167">
        <f>[1]Школы!ED32</f>
        <v>204936.80000000002</v>
      </c>
      <c r="O33" s="147"/>
      <c r="P33" s="147"/>
      <c r="Q33" s="147">
        <f t="shared" si="3"/>
        <v>10337540.93258529</v>
      </c>
      <c r="R33" s="147">
        <f t="shared" si="4"/>
        <v>10337540.93258529</v>
      </c>
      <c r="T33" s="97"/>
      <c r="U33" s="97"/>
      <c r="V33" s="97"/>
      <c r="W33" s="97"/>
    </row>
    <row r="34" spans="1:23" s="95" customFormat="1" x14ac:dyDescent="0.2">
      <c r="A34" s="210">
        <v>24</v>
      </c>
      <c r="B34" s="209" t="str">
        <f>[1]Школы!B33</f>
        <v>МКОУ "Н-Инхеловская ООШ"</v>
      </c>
      <c r="C34" s="147">
        <f t="shared" si="5"/>
        <v>12757340.638658598</v>
      </c>
      <c r="D34" s="147">
        <f>[1]Школы!CJ33</f>
        <v>956244</v>
      </c>
      <c r="E34" s="147">
        <f>SUM([1]Школы!BX33,[1]Школы!CD33)</f>
        <v>5822379.573163284</v>
      </c>
      <c r="F34" s="147">
        <f>[1]Школы!CO33</f>
        <v>692712</v>
      </c>
      <c r="G34" s="147">
        <f>[1]Школы!DF33</f>
        <v>2089681.2000000002</v>
      </c>
      <c r="H34" s="147">
        <f t="shared" si="1"/>
        <v>9561016.7731632851</v>
      </c>
      <c r="I34" s="147"/>
      <c r="J34" s="147">
        <f t="shared" si="2"/>
        <v>2887427.0654953122</v>
      </c>
      <c r="K34" s="167">
        <f>[1]Школы!FH32</f>
        <v>0</v>
      </c>
      <c r="L34" s="167"/>
      <c r="M34" s="94"/>
      <c r="N34" s="167">
        <f>[1]Школы!ED33</f>
        <v>308896.8</v>
      </c>
      <c r="O34" s="147"/>
      <c r="P34" s="147"/>
      <c r="Q34" s="147">
        <f t="shared" si="3"/>
        <v>12757340.638658598</v>
      </c>
      <c r="R34" s="147">
        <f t="shared" si="4"/>
        <v>12757340.638658598</v>
      </c>
      <c r="T34" s="97"/>
      <c r="U34" s="97"/>
      <c r="V34" s="97"/>
      <c r="W34" s="97"/>
    </row>
    <row r="35" spans="1:23" s="95" customFormat="1" x14ac:dyDescent="0.2">
      <c r="A35" s="94">
        <v>25</v>
      </c>
      <c r="B35" s="209" t="str">
        <f>[1]Школы!B34</f>
        <v>МКОУ "Кижанинская ООШ"</v>
      </c>
      <c r="C35" s="147">
        <f t="shared" si="5"/>
        <v>11128290.517885</v>
      </c>
      <c r="D35" s="147">
        <f>[1]Школы!CJ34</f>
        <v>924958.79999999993</v>
      </c>
      <c r="E35" s="147">
        <f>SUM([1]Школы!BX34,[1]Школы!CD34)</f>
        <v>5259223.1542895548</v>
      </c>
      <c r="F35" s="147">
        <f>[1]Школы!CO34</f>
        <v>398309.39999999997</v>
      </c>
      <c r="G35" s="147">
        <f>[1]Школы!DF34</f>
        <v>1792392.2999999998</v>
      </c>
      <c r="H35" s="147">
        <f t="shared" si="1"/>
        <v>8374883.6542895548</v>
      </c>
      <c r="I35" s="147"/>
      <c r="J35" s="147">
        <f t="shared" si="2"/>
        <v>2529214.8635954456</v>
      </c>
      <c r="K35" s="167">
        <f>[1]Школы!FH33</f>
        <v>0</v>
      </c>
      <c r="L35" s="167"/>
      <c r="M35" s="94"/>
      <c r="N35" s="167">
        <f>[1]Школы!ED34</f>
        <v>224192</v>
      </c>
      <c r="O35" s="147"/>
      <c r="P35" s="147"/>
      <c r="Q35" s="147">
        <f t="shared" si="3"/>
        <v>11128290.517885</v>
      </c>
      <c r="R35" s="147">
        <f t="shared" si="4"/>
        <v>11128290.517885</v>
      </c>
      <c r="T35" s="97"/>
      <c r="U35" s="97"/>
      <c r="V35" s="97"/>
      <c r="W35" s="97"/>
    </row>
    <row r="36" spans="1:23" s="95" customFormat="1" x14ac:dyDescent="0.2">
      <c r="A36" s="210">
        <v>26</v>
      </c>
      <c r="B36" s="209" t="str">
        <f>[1]Школы!B36</f>
        <v>МКОУ "Белединская НОШ"</v>
      </c>
      <c r="C36" s="147">
        <f t="shared" si="5"/>
        <v>0</v>
      </c>
      <c r="D36" s="147">
        <f>[1]Школы!CJ36</f>
        <v>0</v>
      </c>
      <c r="E36" s="147">
        <f>SUM([1]Школы!BX36,[1]Школы!CD36)</f>
        <v>0</v>
      </c>
      <c r="F36" s="147">
        <f>[1]Школы!CO36</f>
        <v>0</v>
      </c>
      <c r="G36" s="147">
        <f>[1]Школы!DF36</f>
        <v>0</v>
      </c>
      <c r="H36" s="147">
        <f t="shared" si="1"/>
        <v>0</v>
      </c>
      <c r="I36" s="147"/>
      <c r="J36" s="147">
        <f t="shared" si="2"/>
        <v>0</v>
      </c>
      <c r="K36" s="167">
        <f>[1]Школы!FH34</f>
        <v>0</v>
      </c>
      <c r="L36" s="167"/>
      <c r="M36" s="94"/>
      <c r="N36" s="167">
        <f>[1]Школы!ED36</f>
        <v>0</v>
      </c>
      <c r="O36" s="147"/>
      <c r="P36" s="147"/>
      <c r="Q36" s="147">
        <f t="shared" si="3"/>
        <v>0</v>
      </c>
      <c r="R36" s="147">
        <f t="shared" si="4"/>
        <v>0</v>
      </c>
      <c r="T36" s="97"/>
      <c r="U36" s="97"/>
      <c r="V36" s="97"/>
      <c r="W36" s="97"/>
    </row>
    <row r="37" spans="1:23" s="95" customFormat="1" x14ac:dyDescent="0.2">
      <c r="A37" s="94">
        <v>27</v>
      </c>
      <c r="B37" s="209" t="str">
        <f>[1]Школы!B37</f>
        <v>МКОУ "В-Алакская НОШ"</v>
      </c>
      <c r="C37" s="147">
        <f t="shared" si="5"/>
        <v>0</v>
      </c>
      <c r="D37" s="147">
        <f>[1]Школы!CJ37</f>
        <v>0</v>
      </c>
      <c r="E37" s="147">
        <f>SUM([1]Школы!BX37,[1]Школы!CD37)</f>
        <v>0</v>
      </c>
      <c r="F37" s="147">
        <f>[1]Школы!CO37</f>
        <v>0</v>
      </c>
      <c r="G37" s="147">
        <f>[1]Школы!DF37</f>
        <v>0</v>
      </c>
      <c r="H37" s="147">
        <f t="shared" si="1"/>
        <v>0</v>
      </c>
      <c r="I37" s="147"/>
      <c r="J37" s="147">
        <f t="shared" si="2"/>
        <v>0</v>
      </c>
      <c r="K37" s="167">
        <f>[1]Школы!FH35</f>
        <v>0</v>
      </c>
      <c r="L37" s="167"/>
      <c r="M37" s="94"/>
      <c r="N37" s="167">
        <f>[1]Школы!ED37</f>
        <v>0</v>
      </c>
      <c r="O37" s="147"/>
      <c r="P37" s="147"/>
      <c r="Q37" s="147">
        <f t="shared" si="3"/>
        <v>0</v>
      </c>
      <c r="R37" s="147">
        <f t="shared" si="4"/>
        <v>0</v>
      </c>
      <c r="T37" s="97"/>
      <c r="U37" s="97"/>
      <c r="V37" s="97"/>
      <c r="W37" s="97"/>
    </row>
    <row r="38" spans="1:23" s="95" customFormat="1" x14ac:dyDescent="0.2">
      <c r="A38" s="210">
        <v>28</v>
      </c>
      <c r="B38" s="209" t="str">
        <f>[1]Школы!B38</f>
        <v>МКОУ "Гунховская НОШ"</v>
      </c>
      <c r="C38" s="147">
        <f t="shared" si="5"/>
        <v>1508996.3047189726</v>
      </c>
      <c r="D38" s="147">
        <f>[1]Школы!CJ38</f>
        <v>27241.199999999997</v>
      </c>
      <c r="E38" s="147">
        <f>SUM([1]Школы!BX38,[1]Школы!CD38)</f>
        <v>893829.04374729097</v>
      </c>
      <c r="F38" s="147">
        <f>[1]Школы!CO38</f>
        <v>0</v>
      </c>
      <c r="G38" s="147">
        <f>[1]Школы!DF38</f>
        <v>212431.68</v>
      </c>
      <c r="H38" s="147">
        <f t="shared" si="1"/>
        <v>1133501.9237472909</v>
      </c>
      <c r="I38" s="147"/>
      <c r="J38" s="147">
        <f t="shared" si="2"/>
        <v>342317.5809716818</v>
      </c>
      <c r="K38" s="167">
        <f>[1]Школы!FH36</f>
        <v>0</v>
      </c>
      <c r="L38" s="167"/>
      <c r="M38" s="94"/>
      <c r="N38" s="167">
        <f>[1]Школы!ED38</f>
        <v>33176.799999999996</v>
      </c>
      <c r="O38" s="147"/>
      <c r="P38" s="147"/>
      <c r="Q38" s="147">
        <f t="shared" si="3"/>
        <v>1508996.3047189726</v>
      </c>
      <c r="R38" s="147">
        <f t="shared" si="4"/>
        <v>1508996.3047189726</v>
      </c>
      <c r="T38" s="97"/>
      <c r="U38" s="97"/>
      <c r="V38" s="97"/>
      <c r="W38" s="97"/>
    </row>
    <row r="39" spans="1:23" s="95" customFormat="1" x14ac:dyDescent="0.2">
      <c r="A39" s="94">
        <v>29</v>
      </c>
      <c r="B39" s="209" t="str">
        <f>[1]Школы!B39</f>
        <v>МКОУ "Зибирхалинская НОШ"</v>
      </c>
      <c r="C39" s="147">
        <f t="shared" si="5"/>
        <v>1509801.1855189728</v>
      </c>
      <c r="D39" s="147">
        <f>[1]Школы!CJ39</f>
        <v>29421.600000000002</v>
      </c>
      <c r="E39" s="147">
        <f>SUM([1]Школы!BX39,[1]Школы!CD39)</f>
        <v>893829.04374729097</v>
      </c>
      <c r="F39" s="147">
        <f>[1]Школы!CO39</f>
        <v>0</v>
      </c>
      <c r="G39" s="147">
        <f>[1]Школы!DF39</f>
        <v>212431.68</v>
      </c>
      <c r="H39" s="147">
        <f t="shared" si="1"/>
        <v>1135682.323747291</v>
      </c>
      <c r="I39" s="147"/>
      <c r="J39" s="147">
        <f t="shared" si="2"/>
        <v>342976.06177168188</v>
      </c>
      <c r="K39" s="167">
        <f>[1]Школы!FH37</f>
        <v>0</v>
      </c>
      <c r="L39" s="167"/>
      <c r="M39" s="94"/>
      <c r="N39" s="167">
        <f>[1]Школы!ED39</f>
        <v>31142.799999999999</v>
      </c>
      <c r="O39" s="147"/>
      <c r="P39" s="147"/>
      <c r="Q39" s="147">
        <f t="shared" si="3"/>
        <v>1509801.1855189728</v>
      </c>
      <c r="R39" s="147">
        <f t="shared" si="4"/>
        <v>1509801.1855189728</v>
      </c>
      <c r="T39" s="97"/>
      <c r="U39" s="97"/>
      <c r="V39" s="97"/>
      <c r="W39" s="97"/>
    </row>
    <row r="40" spans="1:23" s="95" customFormat="1" x14ac:dyDescent="0.2">
      <c r="A40" s="210">
        <v>30</v>
      </c>
      <c r="B40" s="209" t="str">
        <f>[1]Школы!B40</f>
        <v>МКОУ "Н-Алакская НОШ"</v>
      </c>
      <c r="C40" s="147">
        <f t="shared" si="5"/>
        <v>0</v>
      </c>
      <c r="D40" s="147">
        <f>[1]Школы!CJ40</f>
        <v>0</v>
      </c>
      <c r="E40" s="147">
        <f>SUM([1]Школы!BX40,[1]Школы!CD40)</f>
        <v>0</v>
      </c>
      <c r="F40" s="147">
        <f>[1]Школы!CO40</f>
        <v>0</v>
      </c>
      <c r="G40" s="147">
        <f>[1]Школы!DF40</f>
        <v>0</v>
      </c>
      <c r="H40" s="147">
        <f t="shared" si="1"/>
        <v>0</v>
      </c>
      <c r="I40" s="147"/>
      <c r="J40" s="147">
        <f t="shared" si="2"/>
        <v>0</v>
      </c>
      <c r="K40" s="167">
        <f>[1]Школы!FH38</f>
        <v>0</v>
      </c>
      <c r="L40" s="167"/>
      <c r="M40" s="94"/>
      <c r="N40" s="167">
        <f>[1]Школы!ED40</f>
        <v>0</v>
      </c>
      <c r="O40" s="147"/>
      <c r="P40" s="147"/>
      <c r="Q40" s="147">
        <f t="shared" si="3"/>
        <v>0</v>
      </c>
      <c r="R40" s="147">
        <f t="shared" si="4"/>
        <v>0</v>
      </c>
      <c r="T40" s="97"/>
      <c r="U40" s="97"/>
      <c r="V40" s="97"/>
      <c r="W40" s="97"/>
    </row>
    <row r="41" spans="1:23" s="95" customFormat="1" x14ac:dyDescent="0.2">
      <c r="A41" s="94">
        <v>31</v>
      </c>
      <c r="B41" s="209" t="str">
        <f>[1]Школы!B41</f>
        <v>МКОУ "Шивортинская НОШ"</v>
      </c>
      <c r="C41" s="147">
        <f t="shared" si="5"/>
        <v>1038850.2080699077</v>
      </c>
      <c r="D41" s="147">
        <f>[1]Школы!CJ41</f>
        <v>27241.199999999997</v>
      </c>
      <c r="E41" s="147">
        <f>SUM([1]Школы!BX41,[1]Школы!CD41)</f>
        <v>542974.89885553601</v>
      </c>
      <c r="F41" s="147">
        <f>[1]Школы!CO41</f>
        <v>0</v>
      </c>
      <c r="G41" s="147">
        <f>[1]Школы!DF41</f>
        <v>212431.68</v>
      </c>
      <c r="H41" s="147">
        <f t="shared" si="1"/>
        <v>782647.7788555359</v>
      </c>
      <c r="I41" s="147"/>
      <c r="J41" s="147">
        <f t="shared" si="2"/>
        <v>236359.62921437185</v>
      </c>
      <c r="K41" s="167">
        <f>[1]Школы!FH39</f>
        <v>0</v>
      </c>
      <c r="L41" s="167"/>
      <c r="M41" s="94"/>
      <c r="N41" s="167">
        <f>[1]Школы!ED41</f>
        <v>19842.800000000003</v>
      </c>
      <c r="O41" s="147"/>
      <c r="P41" s="147"/>
      <c r="Q41" s="147">
        <f t="shared" si="3"/>
        <v>1038850.2080699077</v>
      </c>
      <c r="R41" s="147">
        <f t="shared" si="4"/>
        <v>1038850.2080699077</v>
      </c>
      <c r="S41" s="95" t="s">
        <v>33</v>
      </c>
      <c r="T41" s="97"/>
      <c r="U41" s="97"/>
      <c r="V41" s="97"/>
      <c r="W41" s="97"/>
    </row>
    <row r="42" spans="1:23" s="95" customFormat="1" x14ac:dyDescent="0.2">
      <c r="A42" s="94"/>
      <c r="B42" s="212" t="s">
        <v>180</v>
      </c>
      <c r="C42" s="145">
        <f>SUM(C11:C41)</f>
        <v>547571000.31676006</v>
      </c>
      <c r="D42" s="145">
        <f t="shared" ref="D42:R42" si="6">SUM(D11:D41)</f>
        <v>36766224.600000001</v>
      </c>
      <c r="E42" s="145">
        <f t="shared" si="6"/>
        <v>273229843.12</v>
      </c>
      <c r="F42" s="145">
        <f t="shared" si="6"/>
        <v>18163485.899999999</v>
      </c>
      <c r="G42" s="145">
        <f t="shared" si="6"/>
        <v>83515667.76000002</v>
      </c>
      <c r="H42" s="145">
        <f>SUM(H11:H41)</f>
        <v>411675221.38</v>
      </c>
      <c r="I42" s="145">
        <f t="shared" si="6"/>
        <v>0</v>
      </c>
      <c r="J42" s="145">
        <f t="shared" si="6"/>
        <v>124325916.85676</v>
      </c>
      <c r="K42" s="145">
        <f>SUM(K11:K41)</f>
        <v>0</v>
      </c>
      <c r="L42" s="168">
        <f t="shared" si="6"/>
        <v>0</v>
      </c>
      <c r="M42" s="168">
        <f t="shared" si="6"/>
        <v>0</v>
      </c>
      <c r="N42" s="168">
        <f t="shared" si="6"/>
        <v>11569862.080000006</v>
      </c>
      <c r="O42" s="145">
        <f t="shared" si="6"/>
        <v>0</v>
      </c>
      <c r="P42" s="145">
        <f t="shared" si="6"/>
        <v>0</v>
      </c>
      <c r="Q42" s="145">
        <f t="shared" si="6"/>
        <v>547571000.31676006</v>
      </c>
      <c r="R42" s="145">
        <f t="shared" si="6"/>
        <v>547571000.31676006</v>
      </c>
      <c r="T42" s="97"/>
      <c r="U42" s="163"/>
      <c r="V42" s="97"/>
      <c r="W42" s="163"/>
    </row>
    <row r="43" spans="1:23" s="95" customFormat="1" x14ac:dyDescent="0.2">
      <c r="A43" s="210">
        <v>32</v>
      </c>
      <c r="B43" s="209" t="str">
        <f>'[1]Ясли сады'!B7:C7</f>
        <v>МКДОУ "Ромашка" с.Алак</v>
      </c>
      <c r="C43" s="147">
        <f>SUM(H43:P43)</f>
        <v>5997253.6900712661</v>
      </c>
      <c r="D43" s="147">
        <f>'[1]Ясли сады'!BH7</f>
        <v>416496</v>
      </c>
      <c r="E43" s="147">
        <f>'[1]Ясли сады'!BQ7</f>
        <v>2526855.3590101888</v>
      </c>
      <c r="F43" s="147">
        <f>'[1]Ясли сады'!CB7</f>
        <v>1172992.32</v>
      </c>
      <c r="G43" s="147">
        <f>'[1]Ясли сады'!BW7</f>
        <v>288630</v>
      </c>
      <c r="H43" s="147">
        <f>SUM(D43:G43)</f>
        <v>4404973.6790101891</v>
      </c>
      <c r="I43" s="147">
        <f>'[1]Ясли сады'!DL7</f>
        <v>3012</v>
      </c>
      <c r="J43" s="147">
        <f>H43*30.2/100</f>
        <v>1330302.051061077</v>
      </c>
      <c r="K43" s="167">
        <f>'[1]Ясли сады'!DO7</f>
        <v>6000</v>
      </c>
      <c r="L43" s="167">
        <f>'[1]Ясли сады'!DR7</f>
        <v>861</v>
      </c>
      <c r="M43" s="96">
        <f>'[1]Ясли сады'!EF7</f>
        <v>11180</v>
      </c>
      <c r="N43" s="167">
        <f>'[1]Ясли сады'!ER7</f>
        <v>165648.95999999999</v>
      </c>
      <c r="O43" s="147">
        <f>SUM('[1]Ясли сады'!FT7,'[1]Ясли сады'!FU7)</f>
        <v>57276</v>
      </c>
      <c r="P43" s="147">
        <f>'[1]Ясли сады'!GE7</f>
        <v>18000</v>
      </c>
      <c r="Q43" s="147">
        <f>C43</f>
        <v>5997253.6900712661</v>
      </c>
      <c r="R43" s="147">
        <f>Q43</f>
        <v>5997253.6900712661</v>
      </c>
      <c r="T43" s="97"/>
      <c r="U43" s="97"/>
      <c r="V43" s="213"/>
      <c r="W43" s="97"/>
    </row>
    <row r="44" spans="1:23" s="95" customFormat="1" x14ac:dyDescent="0.2">
      <c r="A44" s="94">
        <v>33</v>
      </c>
      <c r="B44" s="209" t="str">
        <f>'[1]Ясли сады'!B8:C8</f>
        <v>МКДОУ "Светлячок" с.Анди</v>
      </c>
      <c r="C44" s="147">
        <f t="shared" ref="C44:C51" si="7">SUM(H44:P44)</f>
        <v>13836521.603610063</v>
      </c>
      <c r="D44" s="147">
        <f>'[1]Ясли сады'!BH8</f>
        <v>874368</v>
      </c>
      <c r="E44" s="147">
        <f>'[1]Ясли сады'!BQ8</f>
        <v>5667719.7678602617</v>
      </c>
      <c r="F44" s="147">
        <f>'[1]Ясли сады'!CB8</f>
        <v>2835962.9280000003</v>
      </c>
      <c r="G44" s="147">
        <f>'[1]Ясли сады'!BW8</f>
        <v>796618.79999999993</v>
      </c>
      <c r="H44" s="147">
        <f>SUM(D44:G44)</f>
        <v>10174669.495860264</v>
      </c>
      <c r="I44" s="147">
        <f>'[1]Ясли сады'!DL8</f>
        <v>8050</v>
      </c>
      <c r="J44" s="147">
        <f t="shared" ref="J44:J58" si="8">H44*30.2/100</f>
        <v>3072750.1877497993</v>
      </c>
      <c r="K44" s="167">
        <f>'[1]Ясли сады'!DO8</f>
        <v>6000</v>
      </c>
      <c r="L44" s="167">
        <f>'[1]Ясли сады'!DR8</f>
        <v>2300</v>
      </c>
      <c r="M44" s="96">
        <f>'[1]Ясли сады'!EF8</f>
        <v>29900</v>
      </c>
      <c r="N44" s="167">
        <f>'[1]Ясли сады'!ER8</f>
        <v>353671.92</v>
      </c>
      <c r="O44" s="147">
        <f>SUM('[1]Ясли сады'!FT8,'[1]Ясли сады'!FU8)</f>
        <v>153180</v>
      </c>
      <c r="P44" s="147">
        <f>'[1]Ясли сады'!GE8</f>
        <v>36000</v>
      </c>
      <c r="Q44" s="147">
        <f t="shared" ref="Q44:Q59" si="9">C44</f>
        <v>13836521.603610063</v>
      </c>
      <c r="R44" s="147">
        <f t="shared" ref="R44:R58" si="10">Q44</f>
        <v>13836521.603610063</v>
      </c>
      <c r="T44" s="97"/>
      <c r="U44" s="97"/>
      <c r="V44" s="213"/>
      <c r="W44" s="97"/>
    </row>
    <row r="45" spans="1:23" s="95" customFormat="1" x14ac:dyDescent="0.2">
      <c r="A45" s="210">
        <v>34</v>
      </c>
      <c r="B45" s="209" t="str">
        <f>'[1]Ясли сады'!B9:C9</f>
        <v>МКДОУ "Аист" с.Ансалта</v>
      </c>
      <c r="C45" s="147">
        <f t="shared" si="7"/>
        <v>16342276.86786061</v>
      </c>
      <c r="D45" s="147">
        <f>'[1]Ясли сады'!BH9</f>
        <v>831516</v>
      </c>
      <c r="E45" s="147">
        <f>'[1]Ясли сады'!BQ9</f>
        <v>6706086.5452692863</v>
      </c>
      <c r="F45" s="147">
        <f>'[1]Ясли сады'!CB9</f>
        <v>3288072.96</v>
      </c>
      <c r="G45" s="147">
        <f>'[1]Ясли сады'!BW9</f>
        <v>1154520</v>
      </c>
      <c r="H45" s="147">
        <f>SUM(D45:G45)</f>
        <v>11980195.505269285</v>
      </c>
      <c r="I45" s="147">
        <f>'[1]Ясли сады'!DL9</f>
        <v>10220</v>
      </c>
      <c r="J45" s="147">
        <f t="shared" si="8"/>
        <v>3618019.0425913241</v>
      </c>
      <c r="K45" s="167">
        <f>'[1]Ясли сады'!DO9</f>
        <v>6000</v>
      </c>
      <c r="L45" s="167">
        <f>'[1]Ясли сады'!DR9</f>
        <v>2920</v>
      </c>
      <c r="M45" s="96">
        <f>'[1]Ясли сады'!EF9</f>
        <v>37960</v>
      </c>
      <c r="N45" s="167">
        <f>'[1]Ясли сады'!ER9</f>
        <v>450490.32</v>
      </c>
      <c r="O45" s="147">
        <f>SUM('[1]Ясли сады'!FT9,'[1]Ясли сады'!FU9)</f>
        <v>194472</v>
      </c>
      <c r="P45" s="147">
        <f>'[1]Ясли сады'!GE9</f>
        <v>42000</v>
      </c>
      <c r="Q45" s="147">
        <f t="shared" si="9"/>
        <v>16342276.86786061</v>
      </c>
      <c r="R45" s="147">
        <f t="shared" si="10"/>
        <v>16342276.86786061</v>
      </c>
      <c r="T45" s="97"/>
      <c r="U45" s="97"/>
      <c r="V45" s="213"/>
      <c r="W45" s="97"/>
    </row>
    <row r="46" spans="1:23" s="95" customFormat="1" x14ac:dyDescent="0.2">
      <c r="A46" s="94">
        <v>35</v>
      </c>
      <c r="B46" s="209" t="str">
        <f>'[1]Ясли сады'!B10:C10</f>
        <v>МКДОУ "Чебурашка" с.Ботлих</v>
      </c>
      <c r="C46" s="147">
        <f t="shared" si="7"/>
        <v>18062918.801707245</v>
      </c>
      <c r="D46" s="147">
        <f>'[1]Ясли сады'!BH10</f>
        <v>1350648</v>
      </c>
      <c r="E46" s="147">
        <f>'[1]Ясли сады'!BQ10</f>
        <v>7403394.6862882096</v>
      </c>
      <c r="F46" s="147">
        <f>'[1]Ясли сады'!CB10</f>
        <v>3756808.0799999996</v>
      </c>
      <c r="G46" s="147">
        <f>'[1]Ясли сады'!BW10</f>
        <v>692712</v>
      </c>
      <c r="H46" s="147">
        <f>SUM(D46:G46)</f>
        <v>13203562.76628821</v>
      </c>
      <c r="I46" s="147">
        <f>'[1]Ясли сады'!DL10</f>
        <v>12950</v>
      </c>
      <c r="J46" s="147">
        <f t="shared" si="8"/>
        <v>3987475.9554190394</v>
      </c>
      <c r="K46" s="167">
        <f>'[1]Ясли сады'!DO10</f>
        <v>6000</v>
      </c>
      <c r="L46" s="167">
        <f>'[1]Ясли сады'!DR10</f>
        <v>3700</v>
      </c>
      <c r="M46" s="96">
        <f>'[1]Ясли сады'!EF10</f>
        <v>48100</v>
      </c>
      <c r="N46" s="167">
        <f>'[1]Ясли сады'!ER10</f>
        <v>506710.08</v>
      </c>
      <c r="O46" s="147">
        <f>SUM('[1]Ясли сады'!FT10,'[1]Ясли сады'!FU10)</f>
        <v>246420</v>
      </c>
      <c r="P46" s="147">
        <f>'[1]Ясли сады'!GE10</f>
        <v>48000</v>
      </c>
      <c r="Q46" s="147">
        <f t="shared" si="9"/>
        <v>18062918.801707245</v>
      </c>
      <c r="R46" s="147">
        <f t="shared" si="10"/>
        <v>18062918.801707245</v>
      </c>
      <c r="T46" s="97"/>
      <c r="U46" s="97"/>
      <c r="V46" s="213"/>
      <c r="W46" s="97"/>
    </row>
    <row r="47" spans="1:23" s="95" customFormat="1" x14ac:dyDescent="0.2">
      <c r="A47" s="210">
        <v>36</v>
      </c>
      <c r="B47" s="209" t="str">
        <f>'[1]Ясли сады'!B11:C11</f>
        <v>МКДОУ "Солнышко" с.Ботлих</v>
      </c>
      <c r="C47" s="147">
        <f t="shared" si="7"/>
        <v>15003373.131534323</v>
      </c>
      <c r="D47" s="147">
        <f>'[1]Ясли сады'!BH11</f>
        <v>1186692</v>
      </c>
      <c r="E47" s="147">
        <f>'[1]Ясли сады'!BQ11</f>
        <v>5984288.2320232894</v>
      </c>
      <c r="F47" s="147">
        <f>'[1]Ясли сады'!CB11</f>
        <v>2812410.7199999997</v>
      </c>
      <c r="G47" s="147">
        <f>'[1]Ясли сады'!BW11</f>
        <v>923616</v>
      </c>
      <c r="H47" s="147">
        <f t="shared" ref="H47:H59" si="11">SUM(D47:G47)</f>
        <v>10907006.95202329</v>
      </c>
      <c r="I47" s="147">
        <f>'[1]Ясли сады'!DL11</f>
        <v>12600</v>
      </c>
      <c r="J47" s="147">
        <f t="shared" si="8"/>
        <v>3293916.0995110334</v>
      </c>
      <c r="K47" s="167">
        <f>'[1]Ясли сады'!DO11</f>
        <v>6000</v>
      </c>
      <c r="L47" s="167">
        <f>'[1]Ясли сады'!DR11</f>
        <v>3600</v>
      </c>
      <c r="M47" s="96">
        <f>'[1]Ясли сады'!EF11</f>
        <v>46800</v>
      </c>
      <c r="N47" s="167">
        <f>'[1]Ясли сады'!ER11</f>
        <v>445690.08</v>
      </c>
      <c r="O47" s="147">
        <f>SUM('[1]Ясли сады'!FT11,'[1]Ясли сады'!FU11)</f>
        <v>239760</v>
      </c>
      <c r="P47" s="147">
        <f>'[1]Ясли сады'!GE11</f>
        <v>48000</v>
      </c>
      <c r="Q47" s="147">
        <f t="shared" si="9"/>
        <v>15003373.131534323</v>
      </c>
      <c r="R47" s="147">
        <f t="shared" si="10"/>
        <v>15003373.131534323</v>
      </c>
      <c r="T47" s="97"/>
      <c r="U47" s="97"/>
      <c r="V47" s="213"/>
      <c r="W47" s="97"/>
    </row>
    <row r="48" spans="1:23" s="95" customFormat="1" x14ac:dyDescent="0.2">
      <c r="A48" s="94">
        <v>37</v>
      </c>
      <c r="B48" s="209" t="str">
        <f>'[1]Ясли сады'!B12:C12</f>
        <v>МКДОУ "Родничок" с.Ботлих</v>
      </c>
      <c r="C48" s="147">
        <f t="shared" si="7"/>
        <v>12666546.867436156</v>
      </c>
      <c r="D48" s="147">
        <f>'[1]Ясли сады'!BH12</f>
        <v>770712</v>
      </c>
      <c r="E48" s="147">
        <f>'[1]Ясли сады'!BQ12</f>
        <v>4969654.2411644831</v>
      </c>
      <c r="F48" s="147">
        <f>'[1]Ясли сады'!CB12</f>
        <v>2466054.7199999997</v>
      </c>
      <c r="G48" s="147">
        <f>'[1]Ясли сады'!BW12</f>
        <v>1039068</v>
      </c>
      <c r="H48" s="147">
        <f t="shared" si="11"/>
        <v>9245488.9611644819</v>
      </c>
      <c r="I48" s="147">
        <f>'[1]Ясли сады'!DL12</f>
        <v>8820</v>
      </c>
      <c r="J48" s="147">
        <f t="shared" si="8"/>
        <v>2792137.6662716735</v>
      </c>
      <c r="K48" s="167">
        <f>'[1]Ясли сады'!DO12</f>
        <v>6000</v>
      </c>
      <c r="L48" s="167">
        <f>'[1]Ясли сады'!DR12</f>
        <v>2520</v>
      </c>
      <c r="M48" s="96">
        <f>'[1]Ясли сады'!EF12</f>
        <v>32760</v>
      </c>
      <c r="N48" s="167">
        <f>'[1]Ясли сады'!ER12</f>
        <v>374988.24000000005</v>
      </c>
      <c r="O48" s="147">
        <f>SUM('[1]Ясли сады'!FT12,'[1]Ясли сады'!FU12)</f>
        <v>167832</v>
      </c>
      <c r="P48" s="147">
        <f>'[1]Ясли сады'!GE12</f>
        <v>36000</v>
      </c>
      <c r="Q48" s="147">
        <f t="shared" si="9"/>
        <v>12666546.867436156</v>
      </c>
      <c r="R48" s="147">
        <f t="shared" si="10"/>
        <v>12666546.867436156</v>
      </c>
      <c r="T48" s="97"/>
      <c r="U48" s="97"/>
      <c r="V48" s="213"/>
      <c r="W48" s="97"/>
    </row>
    <row r="49" spans="1:23" s="95" customFormat="1" x14ac:dyDescent="0.2">
      <c r="A49" s="210">
        <v>38</v>
      </c>
      <c r="B49" s="209" t="str">
        <f>'[1]Ясли сады'!B13:C13</f>
        <v>МКДОУ "Золотой ключик" с.Ботлих</v>
      </c>
      <c r="C49" s="147">
        <f t="shared" si="7"/>
        <v>9178141.2991734501</v>
      </c>
      <c r="D49" s="147">
        <f>'[1]Ясли сады'!BH13</f>
        <v>578472</v>
      </c>
      <c r="E49" s="147">
        <f>'[1]Ясли сады'!BQ13</f>
        <v>3171857.7825909751</v>
      </c>
      <c r="F49" s="147">
        <f>'[1]Ясли сады'!CB13</f>
        <v>1565529.12</v>
      </c>
      <c r="G49" s="147">
        <f>'[1]Ясли сады'!BW13</f>
        <v>1385424</v>
      </c>
      <c r="H49" s="147">
        <f t="shared" si="11"/>
        <v>6701282.9025909752</v>
      </c>
      <c r="I49" s="147">
        <f>'[1]Ясли сады'!DL13</f>
        <v>6650</v>
      </c>
      <c r="J49" s="147">
        <f t="shared" si="8"/>
        <v>2023787.4365824745</v>
      </c>
      <c r="K49" s="167">
        <f>'[1]Ясли сады'!DO13</f>
        <v>6000</v>
      </c>
      <c r="L49" s="167">
        <f>'[1]Ясли сады'!DR13</f>
        <v>1900</v>
      </c>
      <c r="M49" s="96">
        <f>'[1]Ясли сады'!EF13</f>
        <v>24700</v>
      </c>
      <c r="N49" s="167">
        <f>'[1]Ясли сады'!ER13</f>
        <v>263280.96000000002</v>
      </c>
      <c r="O49" s="147">
        <f>SUM('[1]Ясли сады'!FT13,'[1]Ясли сады'!FU13)</f>
        <v>126540</v>
      </c>
      <c r="P49" s="147">
        <f>'[1]Ясли сады'!GE13</f>
        <v>24000</v>
      </c>
      <c r="Q49" s="147">
        <f t="shared" si="9"/>
        <v>9178141.2991734501</v>
      </c>
      <c r="R49" s="147">
        <f t="shared" si="10"/>
        <v>9178141.2991734501</v>
      </c>
      <c r="T49" s="97"/>
      <c r="U49" s="97"/>
      <c r="V49" s="213"/>
      <c r="W49" s="97"/>
    </row>
    <row r="50" spans="1:23" s="95" customFormat="1" x14ac:dyDescent="0.2">
      <c r="A50" s="94">
        <v>39</v>
      </c>
      <c r="B50" s="209" t="str">
        <f>'[1]Ясли сады'!B14:C14</f>
        <v>МКДОУ "Орленок" с.Гагатли</v>
      </c>
      <c r="C50" s="147">
        <f t="shared" si="7"/>
        <v>9492166.2267612554</v>
      </c>
      <c r="D50" s="147">
        <f>'[1]Ясли сады'!BH14</f>
        <v>637822.19999999995</v>
      </c>
      <c r="E50" s="147">
        <f>'[1]Ясли сады'!BQ14</f>
        <v>3634501.035982532</v>
      </c>
      <c r="F50" s="147">
        <f>'[1]Ясли сады'!CB14</f>
        <v>1887986.5559999999</v>
      </c>
      <c r="G50" s="147">
        <f>'[1]Ясли сады'!BW14</f>
        <v>796618.79999999993</v>
      </c>
      <c r="H50" s="147">
        <f t="shared" si="11"/>
        <v>6956928.5919825314</v>
      </c>
      <c r="I50" s="147">
        <f>'[1]Ясли сады'!DL14</f>
        <v>6090</v>
      </c>
      <c r="J50" s="147">
        <f t="shared" si="8"/>
        <v>2100992.4347787243</v>
      </c>
      <c r="K50" s="167">
        <f>'[1]Ясли сады'!DO14</f>
        <v>6000</v>
      </c>
      <c r="L50" s="167">
        <f>'[1]Ясли сады'!DR14</f>
        <v>1740</v>
      </c>
      <c r="M50" s="96">
        <f>'[1]Ясли сады'!EF14</f>
        <v>22620</v>
      </c>
      <c r="N50" s="167">
        <f>'[1]Ясли сады'!ER14</f>
        <v>257911.19999999998</v>
      </c>
      <c r="O50" s="147">
        <f>SUM('[1]Ясли сады'!FT14,'[1]Ясли сады'!FU14)</f>
        <v>115884</v>
      </c>
      <c r="P50" s="147">
        <f>'[1]Ясли сады'!GE14</f>
        <v>24000</v>
      </c>
      <c r="Q50" s="147">
        <f t="shared" si="9"/>
        <v>9492166.2267612554</v>
      </c>
      <c r="R50" s="147">
        <f t="shared" si="10"/>
        <v>9492166.2267612554</v>
      </c>
      <c r="T50" s="97"/>
      <c r="U50" s="97"/>
      <c r="V50" s="213"/>
      <c r="W50" s="97"/>
    </row>
    <row r="51" spans="1:23" s="95" customFormat="1" x14ac:dyDescent="0.2">
      <c r="A51" s="210">
        <v>40</v>
      </c>
      <c r="B51" s="209" t="str">
        <f>'[1]Ясли сады'!B15:C15</f>
        <v>МКДОУ "Улыбка" с.Муни</v>
      </c>
      <c r="C51" s="147">
        <f t="shared" si="7"/>
        <v>8422845.8524003495</v>
      </c>
      <c r="D51" s="147">
        <f>'[1]Ясли сады'!BH15</f>
        <v>580272</v>
      </c>
      <c r="E51" s="147">
        <f>'[1]Ясли сады'!BQ15</f>
        <v>3343175.0011062589</v>
      </c>
      <c r="F51" s="147">
        <f>'[1]Ясли сады'!CB15</f>
        <v>1644036.48</v>
      </c>
      <c r="G51" s="147">
        <f>'[1]Ясли сады'!BW15</f>
        <v>577260</v>
      </c>
      <c r="H51" s="147">
        <f t="shared" si="11"/>
        <v>6144743.4811062589</v>
      </c>
      <c r="I51" s="147">
        <f>'[1]Ясли сады'!DL15</f>
        <v>5600</v>
      </c>
      <c r="J51" s="147">
        <f t="shared" si="8"/>
        <v>1855712.5312940902</v>
      </c>
      <c r="K51" s="167">
        <f>'[1]Ясли сады'!DO15</f>
        <v>6000</v>
      </c>
      <c r="L51" s="167">
        <f>'[1]Ясли сады'!DR15</f>
        <v>1600</v>
      </c>
      <c r="M51" s="96">
        <f>'[1]Ясли сады'!EF15</f>
        <v>20800</v>
      </c>
      <c r="N51" s="167">
        <f>'[1]Ясли сады'!ER15</f>
        <v>257829.84</v>
      </c>
      <c r="O51" s="147">
        <f>SUM('[1]Ясли сады'!FT15,'[1]Ясли сады'!FU15)</f>
        <v>106560</v>
      </c>
      <c r="P51" s="147">
        <f>'[1]Ясли сады'!GE15</f>
        <v>24000</v>
      </c>
      <c r="Q51" s="147">
        <f t="shared" si="9"/>
        <v>8422845.8524003495</v>
      </c>
      <c r="R51" s="147">
        <f t="shared" si="10"/>
        <v>8422845.8524003495</v>
      </c>
      <c r="T51" s="97"/>
      <c r="U51" s="97"/>
      <c r="V51" s="213"/>
      <c r="W51" s="97"/>
    </row>
    <row r="52" spans="1:23" s="95" customFormat="1" x14ac:dyDescent="0.2">
      <c r="A52" s="210">
        <v>41</v>
      </c>
      <c r="B52" s="209" t="s">
        <v>837</v>
      </c>
      <c r="C52" s="147">
        <f>SUM(H52:P52)</f>
        <v>542277.79200000002</v>
      </c>
      <c r="D52" s="147">
        <f>'[1]Ясли сады'!BH16</f>
        <v>416496</v>
      </c>
      <c r="E52" s="147">
        <f>'[1]Ясли сады'!BQ16</f>
        <v>0</v>
      </c>
      <c r="F52" s="147">
        <f>'[1]Ясли сады'!CB16</f>
        <v>0</v>
      </c>
      <c r="G52" s="147">
        <f>'[1]Ясли сады'!BW16</f>
        <v>0</v>
      </c>
      <c r="H52" s="147">
        <f t="shared" si="11"/>
        <v>416496</v>
      </c>
      <c r="I52" s="147">
        <f>'[1]Ясли сады'!DL16</f>
        <v>0</v>
      </c>
      <c r="J52" s="147">
        <f t="shared" si="8"/>
        <v>125781.79199999999</v>
      </c>
      <c r="K52" s="167">
        <f>'[1]Ясли сады'!DO16</f>
        <v>0</v>
      </c>
      <c r="L52" s="167">
        <f>'[1]Ясли сады'!DR16</f>
        <v>0</v>
      </c>
      <c r="M52" s="96">
        <f>'[1]Ясли сады'!EF16</f>
        <v>0</v>
      </c>
      <c r="N52" s="167">
        <f>'[1]Ясли сады'!ER16</f>
        <v>0</v>
      </c>
      <c r="O52" s="147">
        <f>SUM('[1]Ясли сады'!FT16,'[1]Ясли сады'!FU16)</f>
        <v>0</v>
      </c>
      <c r="P52" s="147">
        <f>'[1]Ясли сады'!GE16</f>
        <v>0</v>
      </c>
      <c r="Q52" s="147">
        <f t="shared" si="9"/>
        <v>542277.79200000002</v>
      </c>
      <c r="R52" s="147">
        <f t="shared" si="10"/>
        <v>542277.79200000002</v>
      </c>
      <c r="T52" s="97"/>
      <c r="U52" s="97"/>
      <c r="V52" s="213"/>
      <c r="W52" s="97"/>
    </row>
    <row r="53" spans="1:23" s="95" customFormat="1" x14ac:dyDescent="0.2">
      <c r="A53" s="94">
        <v>42</v>
      </c>
      <c r="B53" s="209" t="str">
        <f>'[1]Ясли сады'!B17:C17</f>
        <v>МКДОУ "Ласточка" с.Рахата</v>
      </c>
      <c r="C53" s="147">
        <f>SUM(H53:P53)-1</f>
        <v>17955487.920025852</v>
      </c>
      <c r="D53" s="147">
        <f>'[1]Ясли сады'!BH17</f>
        <v>1197360</v>
      </c>
      <c r="E53" s="147">
        <f>'[1]Ясли сады'!BQ17</f>
        <v>7519108.6685298393</v>
      </c>
      <c r="F53" s="147">
        <f>'[1]Ясли сады'!CB17</f>
        <v>3856096.8</v>
      </c>
      <c r="G53" s="147">
        <f>'[1]Ясли сады'!BW17</f>
        <v>577260</v>
      </c>
      <c r="H53" s="147">
        <f t="shared" si="11"/>
        <v>13149825.468529839</v>
      </c>
      <c r="I53" s="147">
        <f>'[1]Ясли сады'!DL17</f>
        <v>11550</v>
      </c>
      <c r="J53" s="147">
        <f t="shared" si="8"/>
        <v>3971247.291496011</v>
      </c>
      <c r="K53" s="167">
        <f>'[1]Ясли сады'!DO17</f>
        <v>6000</v>
      </c>
      <c r="L53" s="167">
        <f>'[1]Ясли сады'!DR17</f>
        <v>3300</v>
      </c>
      <c r="M53" s="96">
        <f>'[1]Ясли сады'!EF17</f>
        <v>42900</v>
      </c>
      <c r="N53" s="167">
        <f>'[1]Ясли сады'!ER17</f>
        <v>502886.16000000003</v>
      </c>
      <c r="O53" s="147">
        <f>SUM('[1]Ясли сады'!FT17,'[1]Ясли сады'!FU17)</f>
        <v>219780</v>
      </c>
      <c r="P53" s="147">
        <f>'[1]Ясли сады'!GE17</f>
        <v>48000</v>
      </c>
      <c r="Q53" s="147">
        <f t="shared" si="9"/>
        <v>17955487.920025852</v>
      </c>
      <c r="R53" s="147">
        <f t="shared" si="10"/>
        <v>17955487.920025852</v>
      </c>
      <c r="T53" s="97"/>
      <c r="U53" s="97"/>
      <c r="V53" s="213"/>
      <c r="W53" s="97"/>
    </row>
    <row r="54" spans="1:23" s="95" customFormat="1" x14ac:dyDescent="0.2">
      <c r="A54" s="210">
        <v>43</v>
      </c>
      <c r="B54" s="209" t="str">
        <f>'[1]Ясли сады'!B18:C18</f>
        <v>МКДОУ "Звездочка" с.Тандо</v>
      </c>
      <c r="C54" s="147">
        <f t="shared" ref="C54:C59" si="12">SUM(H54:P54)</f>
        <v>4425749.7199444538</v>
      </c>
      <c r="D54" s="147">
        <f>'[1]Ясли сады'!BH18</f>
        <v>415500</v>
      </c>
      <c r="E54" s="147">
        <f>'[1]Ясли сады'!BQ18</f>
        <v>1601096.3041048034</v>
      </c>
      <c r="F54" s="147">
        <f>'[1]Ясли сады'!CB18</f>
        <v>808164</v>
      </c>
      <c r="G54" s="147">
        <f>'[1]Ясли сады'!BW18</f>
        <v>404082</v>
      </c>
      <c r="H54" s="147">
        <f t="shared" si="11"/>
        <v>3228842.3041048031</v>
      </c>
      <c r="I54" s="147">
        <f>'[1]Ясли сады'!DL18</f>
        <v>2170</v>
      </c>
      <c r="J54" s="147">
        <f t="shared" si="8"/>
        <v>975110.37583965051</v>
      </c>
      <c r="K54" s="167">
        <f>'[1]Ясли сады'!DO18</f>
        <v>6000</v>
      </c>
      <c r="L54" s="167">
        <f>'[1]Ясли сады'!DR18</f>
        <v>620</v>
      </c>
      <c r="M54" s="96">
        <f>'[1]Ясли сады'!EF18</f>
        <v>8060</v>
      </c>
      <c r="N54" s="167">
        <f>'[1]Ясли сады'!ER18</f>
        <v>151655.04000000001</v>
      </c>
      <c r="O54" s="147">
        <f>SUM('[1]Ясли сады'!FT18,'[1]Ясли сады'!FU18)</f>
        <v>41292</v>
      </c>
      <c r="P54" s="147">
        <f>'[1]Ясли сады'!GE18</f>
        <v>12000</v>
      </c>
      <c r="Q54" s="147">
        <f t="shared" si="9"/>
        <v>4425749.7199444538</v>
      </c>
      <c r="R54" s="147">
        <f t="shared" si="10"/>
        <v>4425749.7199444538</v>
      </c>
      <c r="T54" s="97"/>
      <c r="U54" s="97"/>
      <c r="V54" s="213"/>
      <c r="W54" s="97"/>
    </row>
    <row r="55" spans="1:23" s="95" customFormat="1" x14ac:dyDescent="0.2">
      <c r="A55" s="94">
        <v>44</v>
      </c>
      <c r="B55" s="209" t="str">
        <f>'[1]Ясли сады'!B19:C19</f>
        <v>МКДОУ "Радуга" с.Тлох</v>
      </c>
      <c r="C55" s="147">
        <f t="shared" si="12"/>
        <v>8017489.2991734492</v>
      </c>
      <c r="D55" s="147">
        <f>'[1]Ясли сады'!BH19</f>
        <v>584784</v>
      </c>
      <c r="E55" s="147">
        <f>'[1]Ясли сады'!BQ19</f>
        <v>3231161.7825909751</v>
      </c>
      <c r="F55" s="147">
        <f>'[1]Ясли сады'!CB19</f>
        <v>1565529.12</v>
      </c>
      <c r="G55" s="147">
        <f>'[1]Ясли сады'!BW19</f>
        <v>461808</v>
      </c>
      <c r="H55" s="147">
        <f t="shared" si="11"/>
        <v>5843282.9025909752</v>
      </c>
      <c r="I55" s="147">
        <f>'[1]Ясли сады'!DL19</f>
        <v>5600</v>
      </c>
      <c r="J55" s="147">
        <f t="shared" si="8"/>
        <v>1764671.4365824745</v>
      </c>
      <c r="K55" s="167">
        <f>'[1]Ясли сады'!DO19</f>
        <v>6000</v>
      </c>
      <c r="L55" s="167">
        <f>'[1]Ясли сады'!DR19</f>
        <v>1600</v>
      </c>
      <c r="M55" s="96">
        <f>'[1]Ясли сады'!EF19</f>
        <v>20800</v>
      </c>
      <c r="N55" s="167">
        <f>'[1]Ясли сады'!ER19</f>
        <v>244974.96</v>
      </c>
      <c r="O55" s="147">
        <f>SUM('[1]Ясли сады'!FT19,'[1]Ясли сады'!FU19)</f>
        <v>106560</v>
      </c>
      <c r="P55" s="147">
        <f>'[1]Ясли сады'!GE19</f>
        <v>24000</v>
      </c>
      <c r="Q55" s="147">
        <f t="shared" si="9"/>
        <v>8017489.2991734492</v>
      </c>
      <c r="R55" s="147">
        <f t="shared" si="10"/>
        <v>8017489.2991734492</v>
      </c>
      <c r="T55" s="97"/>
      <c r="U55" s="97"/>
      <c r="V55" s="213"/>
      <c r="W55" s="97"/>
    </row>
    <row r="56" spans="1:23" s="95" customFormat="1" x14ac:dyDescent="0.2">
      <c r="A56" s="210">
        <v>45</v>
      </c>
      <c r="B56" s="209" t="str">
        <f>'[1]Ясли сады'!B20:C20</f>
        <v>МКДОУ "Сказка" с.Ашали</v>
      </c>
      <c r="C56" s="147">
        <f t="shared" si="12"/>
        <v>3096676.5758271795</v>
      </c>
      <c r="D56" s="147">
        <f>'[1]Ясли сады'!BH20</f>
        <v>422832</v>
      </c>
      <c r="E56" s="147">
        <f>'[1]Ясли сады'!BQ20</f>
        <v>899383.91540029109</v>
      </c>
      <c r="F56" s="147">
        <f>'[1]Ясли сады'!CB20</f>
        <v>472660.48800000001</v>
      </c>
      <c r="G56" s="147">
        <f>'[1]Ясли сады'!BW20</f>
        <v>464694.30000000005</v>
      </c>
      <c r="H56" s="147">
        <f t="shared" si="11"/>
        <v>2259570.7034002915</v>
      </c>
      <c r="I56" s="147">
        <f>'[1]Ясли сады'!DL20</f>
        <v>1260</v>
      </c>
      <c r="J56" s="147">
        <f t="shared" si="8"/>
        <v>682390.35242688807</v>
      </c>
      <c r="K56" s="167">
        <f>'[1]Ясли сады'!DO20</f>
        <v>6000</v>
      </c>
      <c r="L56" s="167">
        <f>'[1]Ясли сады'!DR20</f>
        <v>360</v>
      </c>
      <c r="M56" s="96">
        <f>'[1]Ясли сады'!EF20</f>
        <v>4680</v>
      </c>
      <c r="N56" s="167">
        <f>'[1]Ясли сады'!ER20</f>
        <v>112439.52</v>
      </c>
      <c r="O56" s="147">
        <f>SUM('[1]Ясли сады'!FT20,'[1]Ясли сады'!FU20)</f>
        <v>23976</v>
      </c>
      <c r="P56" s="147">
        <f>'[1]Ясли сады'!GE20</f>
        <v>6000</v>
      </c>
      <c r="Q56" s="147">
        <f t="shared" si="9"/>
        <v>3096676.5758271795</v>
      </c>
      <c r="R56" s="147">
        <f t="shared" si="10"/>
        <v>3096676.5758271795</v>
      </c>
      <c r="T56" s="97"/>
      <c r="U56" s="97"/>
      <c r="V56" s="213"/>
      <c r="W56" s="97"/>
    </row>
    <row r="57" spans="1:23" s="95" customFormat="1" x14ac:dyDescent="0.2">
      <c r="A57" s="94">
        <v>46</v>
      </c>
      <c r="B57" s="209" t="str">
        <f>'[1]Ясли сады'!B21:C21</f>
        <v>МКДОУ "Журавлик" с.Шодрода</v>
      </c>
      <c r="C57" s="147">
        <f t="shared" si="12"/>
        <v>2613077.5508911787</v>
      </c>
      <c r="D57" s="147">
        <f>'[1]Ясли сады'!BH21</f>
        <v>355680</v>
      </c>
      <c r="E57" s="147">
        <f>'[1]Ясли сады'!BQ21</f>
        <v>825613.315400291</v>
      </c>
      <c r="F57" s="147">
        <f>'[1]Ясли сады'!CB21</f>
        <v>411009.12</v>
      </c>
      <c r="G57" s="147">
        <f>'[1]Ясли сады'!BW21</f>
        <v>288630</v>
      </c>
      <c r="H57" s="147">
        <f t="shared" si="11"/>
        <v>1880932.4354002909</v>
      </c>
      <c r="I57" s="147">
        <f>'[1]Ясли сады'!DL21</f>
        <v>1820</v>
      </c>
      <c r="J57" s="147">
        <f t="shared" si="8"/>
        <v>568041.59549088788</v>
      </c>
      <c r="K57" s="167">
        <f>'[1]Ясли сады'!DO21</f>
        <v>6000</v>
      </c>
      <c r="L57" s="167">
        <f>'[1]Ясли сады'!DR21</f>
        <v>520</v>
      </c>
      <c r="M57" s="96">
        <f>'[1]Ясли сады'!EF21</f>
        <v>6760</v>
      </c>
      <c r="N57" s="167">
        <f>'[1]Ясли сады'!ER21</f>
        <v>108371.52</v>
      </c>
      <c r="O57" s="147">
        <f>SUM('[1]Ясли сады'!FT21,'[1]Ясли сады'!FU21)</f>
        <v>34632</v>
      </c>
      <c r="P57" s="147">
        <f>'[1]Ясли сады'!GE21</f>
        <v>6000</v>
      </c>
      <c r="Q57" s="147">
        <f t="shared" si="9"/>
        <v>2613077.5508911787</v>
      </c>
      <c r="R57" s="147">
        <f t="shared" si="10"/>
        <v>2613077.5508911787</v>
      </c>
      <c r="T57" s="97"/>
      <c r="U57" s="97"/>
      <c r="V57" s="213"/>
      <c r="W57" s="97"/>
    </row>
    <row r="58" spans="1:23" s="95" customFormat="1" x14ac:dyDescent="0.2">
      <c r="A58" s="210">
        <v>47</v>
      </c>
      <c r="B58" s="209" t="str">
        <f>'[1]Ясли сады'!B22:C22</f>
        <v>МКДОУ "Теремок" с.Годобери</v>
      </c>
      <c r="C58" s="147">
        <f t="shared" si="12"/>
        <v>6997880.1232839823</v>
      </c>
      <c r="D58" s="147">
        <f>'[1]Ясли сады'!BH22</f>
        <v>419644.19999999995</v>
      </c>
      <c r="E58" s="147">
        <f>'[1]Ясли сады'!BQ22</f>
        <v>2738864.44727802</v>
      </c>
      <c r="F58" s="147">
        <f>'[1]Ясли сады'!CB22</f>
        <v>1417981.4640000002</v>
      </c>
      <c r="G58" s="147">
        <f>'[1]Ясли сады'!BW22</f>
        <v>531079.19999999995</v>
      </c>
      <c r="H58" s="147">
        <f t="shared" si="11"/>
        <v>5107569.31127802</v>
      </c>
      <c r="I58" s="147">
        <f>'[1]Ясли сады'!DL22</f>
        <v>4900</v>
      </c>
      <c r="J58" s="147">
        <f t="shared" si="8"/>
        <v>1542485.9320059621</v>
      </c>
      <c r="K58" s="167">
        <f>'[1]Ясли сады'!DO22</f>
        <v>6000</v>
      </c>
      <c r="L58" s="167">
        <f>'[1]Ясли сады'!DR22</f>
        <v>1400</v>
      </c>
      <c r="M58" s="96">
        <f>'[1]Ясли сады'!EF22</f>
        <v>18200</v>
      </c>
      <c r="N58" s="167">
        <f>'[1]Ясли сады'!ER22</f>
        <v>206084.87999999998</v>
      </c>
      <c r="O58" s="147">
        <f>SUM('[1]Ясли сады'!FT22,'[1]Ясли сады'!FU22)</f>
        <v>93240</v>
      </c>
      <c r="P58" s="147">
        <f>'[1]Ясли сады'!GE22</f>
        <v>18000</v>
      </c>
      <c r="Q58" s="147">
        <f t="shared" si="9"/>
        <v>6997880.1232839823</v>
      </c>
      <c r="R58" s="147">
        <f t="shared" si="10"/>
        <v>6997880.1232839823</v>
      </c>
      <c r="T58" s="97"/>
      <c r="U58" s="97"/>
      <c r="V58" s="213"/>
      <c r="W58" s="97"/>
    </row>
    <row r="59" spans="1:23" s="95" customFormat="1" ht="15" customHeight="1" x14ac:dyDescent="0.2">
      <c r="A59" s="94">
        <v>48</v>
      </c>
      <c r="B59" s="209" t="str">
        <f>'[1]Ясли сады'!B23:C23</f>
        <v>МКДОУ "Орленок" с.Зило</v>
      </c>
      <c r="C59" s="147">
        <f t="shared" si="12"/>
        <v>2902316.7830271791</v>
      </c>
      <c r="D59" s="147">
        <f>'[1]Ясли сады'!BH23</f>
        <v>398585.39999999997</v>
      </c>
      <c r="E59" s="147">
        <f>'[1]Ясли сады'!BQ23</f>
        <v>907663.91540029109</v>
      </c>
      <c r="F59" s="147">
        <f>'[1]Ясли сады'!CB23</f>
        <v>472660.48800000001</v>
      </c>
      <c r="G59" s="147">
        <f>'[1]Ясли сады'!BW23</f>
        <v>331924.5</v>
      </c>
      <c r="H59" s="147">
        <f t="shared" si="11"/>
        <v>2110834.3034002911</v>
      </c>
      <c r="I59" s="147">
        <f>'[1]Ясли сады'!DL23</f>
        <v>1400</v>
      </c>
      <c r="J59" s="147">
        <f>H59*30.2/100</f>
        <v>637471.95962688792</v>
      </c>
      <c r="K59" s="167">
        <f>'[1]Ясли сады'!DO23</f>
        <v>6000</v>
      </c>
      <c r="L59" s="167">
        <f>'[1]Ясли сады'!DR23</f>
        <v>400</v>
      </c>
      <c r="M59" s="96">
        <f>'[1]Ясли сады'!EF23</f>
        <v>5200</v>
      </c>
      <c r="N59" s="167">
        <f>'[1]Ясли сады'!ER23</f>
        <v>108370.52</v>
      </c>
      <c r="O59" s="147">
        <f>SUM('[1]Ясли сады'!FT23,'[1]Ясли сады'!FU23)</f>
        <v>26640</v>
      </c>
      <c r="P59" s="147">
        <f>'[1]Ясли сады'!GE23</f>
        <v>6000</v>
      </c>
      <c r="Q59" s="147">
        <f t="shared" si="9"/>
        <v>2902316.7830271791</v>
      </c>
      <c r="R59" s="147">
        <f>Q59</f>
        <v>2902316.7830271791</v>
      </c>
      <c r="T59" s="97"/>
      <c r="U59" s="97"/>
      <c r="V59" s="213"/>
      <c r="W59" s="97"/>
    </row>
    <row r="60" spans="1:23" s="95" customFormat="1" x14ac:dyDescent="0.2">
      <c r="A60" s="94"/>
      <c r="B60" s="212" t="s">
        <v>181</v>
      </c>
      <c r="C60" s="145">
        <f>SUM(C43:C59)</f>
        <v>155553000.10472798</v>
      </c>
      <c r="D60" s="145">
        <f>SUM(D43:D59)</f>
        <v>11437879.799999999</v>
      </c>
      <c r="E60" s="145">
        <f t="shared" ref="E60:R60" si="13">SUM(E43:E59)</f>
        <v>61130425.000000007</v>
      </c>
      <c r="F60" s="145">
        <f t="shared" si="13"/>
        <v>30433955.364000008</v>
      </c>
      <c r="G60" s="145">
        <f t="shared" si="13"/>
        <v>10713945.6</v>
      </c>
      <c r="H60" s="145">
        <f t="shared" si="13"/>
        <v>113716205.764</v>
      </c>
      <c r="I60" s="145">
        <f t="shared" si="13"/>
        <v>102692</v>
      </c>
      <c r="J60" s="145">
        <f t="shared" si="13"/>
        <v>34342294.140728004</v>
      </c>
      <c r="K60" s="145">
        <f t="shared" si="13"/>
        <v>96000</v>
      </c>
      <c r="L60" s="145">
        <f t="shared" si="13"/>
        <v>29341</v>
      </c>
      <c r="M60" s="145">
        <f t="shared" si="13"/>
        <v>381420</v>
      </c>
      <c r="N60" s="145">
        <f t="shared" si="13"/>
        <v>4511004.1999999993</v>
      </c>
      <c r="O60" s="145">
        <f t="shared" si="13"/>
        <v>1954044</v>
      </c>
      <c r="P60" s="145">
        <f t="shared" si="13"/>
        <v>420000</v>
      </c>
      <c r="Q60" s="145">
        <f t="shared" si="13"/>
        <v>155553000.10472798</v>
      </c>
      <c r="R60" s="145">
        <f t="shared" si="13"/>
        <v>155553000.10472798</v>
      </c>
      <c r="T60" s="97"/>
      <c r="U60" s="97"/>
      <c r="V60" s="213"/>
      <c r="W60" s="97"/>
    </row>
    <row r="61" spans="1:23" s="159" customFormat="1" x14ac:dyDescent="0.2">
      <c r="A61" s="150"/>
      <c r="B61" s="150" t="s">
        <v>56</v>
      </c>
      <c r="C61" s="98">
        <f>SUM(C42,C60)</f>
        <v>703124000.42148805</v>
      </c>
      <c r="D61" s="98">
        <f>SUM(D42,D60)</f>
        <v>48204104.399999999</v>
      </c>
      <c r="E61" s="98">
        <f t="shared" ref="E61:P61" si="14">SUM(E42,E60)</f>
        <v>334360268.12</v>
      </c>
      <c r="F61" s="98">
        <f t="shared" si="14"/>
        <v>48597441.264000006</v>
      </c>
      <c r="G61" s="98">
        <f t="shared" si="14"/>
        <v>94229613.360000014</v>
      </c>
      <c r="H61" s="98">
        <f t="shared" si="14"/>
        <v>525391427.14399999</v>
      </c>
      <c r="I61" s="98">
        <f t="shared" si="14"/>
        <v>102692</v>
      </c>
      <c r="J61" s="98">
        <f t="shared" si="14"/>
        <v>158668210.99748799</v>
      </c>
      <c r="K61" s="98">
        <f t="shared" si="14"/>
        <v>96000</v>
      </c>
      <c r="L61" s="98">
        <f t="shared" si="14"/>
        <v>29341</v>
      </c>
      <c r="M61" s="98">
        <f t="shared" si="14"/>
        <v>381420</v>
      </c>
      <c r="N61" s="98">
        <f t="shared" si="14"/>
        <v>16080866.280000005</v>
      </c>
      <c r="O61" s="98">
        <f t="shared" si="14"/>
        <v>1954044</v>
      </c>
      <c r="P61" s="98">
        <f t="shared" si="14"/>
        <v>420000</v>
      </c>
      <c r="Q61" s="98">
        <f>SUM(Q42,Q60)</f>
        <v>703124000.42148805</v>
      </c>
      <c r="R61" s="98">
        <f>SUM(R42,R60)</f>
        <v>703124000.42148805</v>
      </c>
      <c r="S61" s="159" t="s">
        <v>33</v>
      </c>
      <c r="T61" s="163"/>
      <c r="U61" s="163"/>
      <c r="V61" s="163"/>
      <c r="W61" s="163"/>
    </row>
    <row r="62" spans="1:23" s="95" customFormat="1" x14ac:dyDescent="0.2">
      <c r="J62" s="95" t="s">
        <v>33</v>
      </c>
      <c r="T62" s="97"/>
      <c r="U62" s="97"/>
      <c r="V62" s="97"/>
      <c r="W62" s="97"/>
    </row>
    <row r="63" spans="1:23" s="95" customFormat="1" x14ac:dyDescent="0.2">
      <c r="B63" s="440" t="s">
        <v>33</v>
      </c>
      <c r="C63" s="440"/>
      <c r="D63" s="440"/>
      <c r="E63" s="440"/>
      <c r="F63" s="440"/>
      <c r="G63" s="440"/>
      <c r="H63" s="440"/>
      <c r="I63" s="440"/>
      <c r="J63" s="440"/>
      <c r="O63" s="95" t="s">
        <v>33</v>
      </c>
      <c r="T63" s="97"/>
    </row>
    <row r="64" spans="1:23" s="95" customFormat="1" x14ac:dyDescent="0.2">
      <c r="C64" s="97"/>
      <c r="S64" s="95" t="s">
        <v>33</v>
      </c>
      <c r="T64" s="97"/>
    </row>
    <row r="65" spans="2:15" s="95" customFormat="1" x14ac:dyDescent="0.2">
      <c r="B65" s="214" t="s">
        <v>201</v>
      </c>
      <c r="C65" s="213">
        <v>547571000</v>
      </c>
      <c r="J65" s="95" t="s">
        <v>33</v>
      </c>
    </row>
    <row r="66" spans="2:15" s="95" customFormat="1" x14ac:dyDescent="0.2">
      <c r="B66" s="214" t="s">
        <v>315</v>
      </c>
      <c r="C66" s="213">
        <v>155553000</v>
      </c>
      <c r="O66" s="215"/>
    </row>
    <row r="67" spans="2:15" s="95" customFormat="1" x14ac:dyDescent="0.2">
      <c r="B67" s="95" t="s">
        <v>202</v>
      </c>
      <c r="C67" s="216">
        <f>C65-C42</f>
        <v>-0.31676006317138672</v>
      </c>
    </row>
    <row r="68" spans="2:15" s="95" customFormat="1" x14ac:dyDescent="0.2">
      <c r="B68" s="95" t="s">
        <v>203</v>
      </c>
      <c r="C68" s="216">
        <f>C66-(C60)</f>
        <v>-0.10472798347473145</v>
      </c>
    </row>
    <row r="69" spans="2:15" s="95" customFormat="1" x14ac:dyDescent="0.2">
      <c r="C69" s="97"/>
    </row>
    <row r="70" spans="2:15" s="95" customFormat="1" x14ac:dyDescent="0.2"/>
    <row r="71" spans="2:15" s="95" customFormat="1" x14ac:dyDescent="0.2"/>
    <row r="72" spans="2:15" s="95" customFormat="1" x14ac:dyDescent="0.2"/>
    <row r="73" spans="2:15" s="95" customFormat="1" x14ac:dyDescent="0.2"/>
    <row r="74" spans="2:15" s="95" customFormat="1" x14ac:dyDescent="0.2"/>
    <row r="75" spans="2:15" s="95" customFormat="1" x14ac:dyDescent="0.2"/>
    <row r="76" spans="2:15" s="95" customFormat="1" x14ac:dyDescent="0.2"/>
    <row r="77" spans="2:15" s="95" customFormat="1" x14ac:dyDescent="0.2"/>
    <row r="78" spans="2:15" s="95" customFormat="1" x14ac:dyDescent="0.2"/>
    <row r="79" spans="2:15" s="95" customFormat="1" x14ac:dyDescent="0.2"/>
    <row r="80" spans="2:15" s="95" customFormat="1" x14ac:dyDescent="0.2"/>
    <row r="81" spans="2:3" s="95" customFormat="1" x14ac:dyDescent="0.2"/>
    <row r="82" spans="2:3" s="95" customFormat="1" x14ac:dyDescent="0.2"/>
    <row r="83" spans="2:3" s="95" customFormat="1" x14ac:dyDescent="0.2"/>
    <row r="84" spans="2:3" s="95" customFormat="1" x14ac:dyDescent="0.2"/>
    <row r="85" spans="2:3" s="95" customFormat="1" x14ac:dyDescent="0.2"/>
    <row r="86" spans="2:3" s="95" customFormat="1" x14ac:dyDescent="0.2"/>
    <row r="87" spans="2:3" s="95" customFormat="1" x14ac:dyDescent="0.2"/>
    <row r="88" spans="2:3" s="95" customFormat="1" x14ac:dyDescent="0.2"/>
    <row r="89" spans="2:3" x14ac:dyDescent="0.2">
      <c r="B89" s="95"/>
      <c r="C89" s="95"/>
    </row>
  </sheetData>
  <mergeCells count="24">
    <mergeCell ref="A6:R6"/>
    <mergeCell ref="F1:R1"/>
    <mergeCell ref="N2:R2"/>
    <mergeCell ref="H3:R3"/>
    <mergeCell ref="A4:R4"/>
    <mergeCell ref="A5:R5"/>
    <mergeCell ref="A8:A10"/>
    <mergeCell ref="B8:B10"/>
    <mergeCell ref="C8:C10"/>
    <mergeCell ref="D8:F8"/>
    <mergeCell ref="H8:H10"/>
    <mergeCell ref="B63:J63"/>
    <mergeCell ref="O8:P8"/>
    <mergeCell ref="Q8:Q10"/>
    <mergeCell ref="R8:R10"/>
    <mergeCell ref="D9:G9"/>
    <mergeCell ref="I9:I10"/>
    <mergeCell ref="J9:J10"/>
    <mergeCell ref="K9:K10"/>
    <mergeCell ref="L9:L10"/>
    <mergeCell ref="M9:M10"/>
    <mergeCell ref="N9:N10"/>
    <mergeCell ref="O9:O10"/>
    <mergeCell ref="P9:P10"/>
  </mergeCells>
  <phoneticPr fontId="0" type="noConversion"/>
  <pageMargins left="0.75" right="0.75" top="1" bottom="1" header="0.5" footer="0.5"/>
  <pageSetup paperSize="9" scale="67" orientation="landscape" r:id="rId1"/>
  <headerFooter alignWithMargins="0"/>
  <rowBreaks count="1" manualBreakCount="1">
    <brk id="36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F33"/>
  <sheetViews>
    <sheetView workbookViewId="0">
      <selection activeCell="B32" sqref="B32"/>
    </sheetView>
  </sheetViews>
  <sheetFormatPr defaultRowHeight="12.75" x14ac:dyDescent="0.2"/>
  <cols>
    <col min="1" max="1" width="4.28515625" customWidth="1"/>
    <col min="2" max="2" width="41" customWidth="1"/>
    <col min="3" max="3" width="8.7109375" customWidth="1"/>
    <col min="4" max="6" width="10.140625" customWidth="1"/>
  </cols>
  <sheetData>
    <row r="1" spans="1:6" x14ac:dyDescent="0.2">
      <c r="A1" s="461" t="s">
        <v>623</v>
      </c>
      <c r="B1" s="461"/>
      <c r="C1" s="461"/>
      <c r="D1" s="461"/>
      <c r="E1" s="461"/>
      <c r="F1" s="461"/>
    </row>
    <row r="2" spans="1:6" x14ac:dyDescent="0.2">
      <c r="A2" s="461" t="s">
        <v>81</v>
      </c>
      <c r="B2" s="461"/>
      <c r="C2" s="461"/>
      <c r="D2" s="461"/>
      <c r="E2" s="461"/>
      <c r="F2" s="461"/>
    </row>
    <row r="3" spans="1:6" x14ac:dyDescent="0.2">
      <c r="A3" s="461" t="s">
        <v>871</v>
      </c>
      <c r="B3" s="461"/>
      <c r="C3" s="461"/>
      <c r="D3" s="461"/>
      <c r="E3" s="461"/>
      <c r="F3" s="461"/>
    </row>
    <row r="4" spans="1:6" x14ac:dyDescent="0.2">
      <c r="A4" s="218"/>
      <c r="B4" s="218"/>
      <c r="C4" s="218"/>
      <c r="D4" s="218"/>
      <c r="E4" s="218"/>
      <c r="F4" s="218"/>
    </row>
    <row r="5" spans="1:6" x14ac:dyDescent="0.2">
      <c r="A5" s="159" t="s">
        <v>613</v>
      </c>
      <c r="B5" s="159"/>
      <c r="C5" s="159"/>
      <c r="D5" s="159"/>
      <c r="E5" s="159"/>
      <c r="F5" s="159"/>
    </row>
    <row r="6" spans="1:6" x14ac:dyDescent="0.2">
      <c r="A6" s="159" t="s">
        <v>614</v>
      </c>
      <c r="B6" s="159"/>
      <c r="C6" s="159"/>
      <c r="D6" s="159"/>
      <c r="E6" s="159"/>
      <c r="F6" s="159"/>
    </row>
    <row r="7" spans="1:6" x14ac:dyDescent="0.2">
      <c r="A7" s="159" t="s">
        <v>838</v>
      </c>
      <c r="B7" s="159"/>
      <c r="C7" s="159"/>
      <c r="D7" s="159"/>
      <c r="E7" s="159"/>
      <c r="F7" s="159"/>
    </row>
    <row r="8" spans="1:6" x14ac:dyDescent="0.2">
      <c r="A8" s="418"/>
      <c r="B8" s="418"/>
      <c r="C8" s="418"/>
      <c r="D8" s="418"/>
      <c r="E8" s="418"/>
      <c r="F8" s="418"/>
    </row>
    <row r="9" spans="1:6" x14ac:dyDescent="0.2">
      <c r="A9" s="158"/>
      <c r="B9" s="462"/>
      <c r="C9" s="462"/>
      <c r="D9" s="462"/>
      <c r="E9" s="462"/>
      <c r="F9" s="462"/>
    </row>
    <row r="10" spans="1:6" x14ac:dyDescent="0.2">
      <c r="A10" s="463" t="s">
        <v>45</v>
      </c>
      <c r="B10" s="464" t="s">
        <v>28</v>
      </c>
      <c r="C10" s="464"/>
      <c r="D10" s="467">
        <v>2024</v>
      </c>
      <c r="E10" s="467">
        <v>2025</v>
      </c>
      <c r="F10" s="467">
        <v>2026</v>
      </c>
    </row>
    <row r="11" spans="1:6" ht="13.5" thickBot="1" x14ac:dyDescent="0.25">
      <c r="A11" s="463"/>
      <c r="B11" s="465"/>
      <c r="C11" s="466"/>
      <c r="D11" s="466"/>
      <c r="E11" s="466"/>
      <c r="F11" s="466"/>
    </row>
    <row r="12" spans="1:6" ht="12.75" customHeight="1" thickTop="1" x14ac:dyDescent="0.2">
      <c r="A12" s="232">
        <v>1</v>
      </c>
      <c r="B12" s="269" t="s">
        <v>440</v>
      </c>
      <c r="C12" s="270">
        <f>'[1]Ясли сады'!AX7</f>
        <v>43</v>
      </c>
      <c r="D12" s="42">
        <f>'[1]Ясли сады'!FF7</f>
        <v>51168.89</v>
      </c>
      <c r="E12" s="267">
        <f>D12</f>
        <v>51168.89</v>
      </c>
      <c r="F12" s="267">
        <f>E12</f>
        <v>51168.89</v>
      </c>
    </row>
    <row r="13" spans="1:6" x14ac:dyDescent="0.2">
      <c r="A13" s="150">
        <v>2</v>
      </c>
      <c r="B13" s="268" t="s">
        <v>438</v>
      </c>
      <c r="C13" s="270">
        <f>'[1]Ясли сады'!AX8</f>
        <v>115</v>
      </c>
      <c r="D13" s="42">
        <f>'[1]Ясли сады'!FF8</f>
        <v>117441.45</v>
      </c>
      <c r="E13" s="267">
        <f t="shared" ref="E13:F27" si="0">D13</f>
        <v>117441.45</v>
      </c>
      <c r="F13" s="267">
        <f t="shared" si="0"/>
        <v>117441.45</v>
      </c>
    </row>
    <row r="14" spans="1:6" x14ac:dyDescent="0.2">
      <c r="A14" s="150">
        <v>3</v>
      </c>
      <c r="B14" s="268" t="s">
        <v>445</v>
      </c>
      <c r="C14" s="270">
        <f>'[1]Ясли сады'!AX9</f>
        <v>146</v>
      </c>
      <c r="D14" s="42">
        <f>'[1]Ясли сады'!FF9</f>
        <v>149099.58000000002</v>
      </c>
      <c r="E14" s="267">
        <f t="shared" si="0"/>
        <v>149099.58000000002</v>
      </c>
      <c r="F14" s="267">
        <f t="shared" si="0"/>
        <v>149099.58000000002</v>
      </c>
    </row>
    <row r="15" spans="1:6" x14ac:dyDescent="0.2">
      <c r="A15" s="150">
        <v>4</v>
      </c>
      <c r="B15" s="268" t="s">
        <v>434</v>
      </c>
      <c r="C15" s="270">
        <f>'[1]Ясли сады'!AX10</f>
        <v>185</v>
      </c>
      <c r="D15" s="42">
        <f>'[1]Ясли сады'!FF10</f>
        <v>188927.55000000002</v>
      </c>
      <c r="E15" s="267">
        <f t="shared" si="0"/>
        <v>188927.55000000002</v>
      </c>
      <c r="F15" s="267">
        <f t="shared" si="0"/>
        <v>188927.55000000002</v>
      </c>
    </row>
    <row r="16" spans="1:6" x14ac:dyDescent="0.2">
      <c r="A16" s="150">
        <v>5</v>
      </c>
      <c r="B16" s="268" t="s">
        <v>435</v>
      </c>
      <c r="C16" s="270">
        <f>'[1]Ясли сады'!AX11</f>
        <v>180</v>
      </c>
      <c r="D16" s="42">
        <f>'[1]Ясли сады'!FF11</f>
        <v>183821.4</v>
      </c>
      <c r="E16" s="267">
        <f t="shared" si="0"/>
        <v>183821.4</v>
      </c>
      <c r="F16" s="267">
        <f t="shared" si="0"/>
        <v>183821.4</v>
      </c>
    </row>
    <row r="17" spans="1:6" x14ac:dyDescent="0.2">
      <c r="A17" s="150">
        <v>6</v>
      </c>
      <c r="B17" s="268" t="s">
        <v>530</v>
      </c>
      <c r="C17" s="270">
        <f>'[1]Ясли сады'!AX12</f>
        <v>126</v>
      </c>
      <c r="D17" s="42">
        <f>'[1]Ясли сады'!FF12</f>
        <v>128674.98</v>
      </c>
      <c r="E17" s="267">
        <f t="shared" si="0"/>
        <v>128674.98</v>
      </c>
      <c r="F17" s="267">
        <f t="shared" si="0"/>
        <v>128674.98</v>
      </c>
    </row>
    <row r="18" spans="1:6" x14ac:dyDescent="0.2">
      <c r="A18" s="150">
        <v>7</v>
      </c>
      <c r="B18" s="268" t="s">
        <v>612</v>
      </c>
      <c r="C18" s="270">
        <f>'[1]Ясли сады'!AX13</f>
        <v>95</v>
      </c>
      <c r="D18" s="42">
        <f>'[1]Ясли сады'!FF13</f>
        <v>97016.85</v>
      </c>
      <c r="E18" s="267">
        <f t="shared" si="0"/>
        <v>97016.85</v>
      </c>
      <c r="F18" s="267">
        <f t="shared" si="0"/>
        <v>97016.85</v>
      </c>
    </row>
    <row r="19" spans="1:6" x14ac:dyDescent="0.2">
      <c r="A19" s="150">
        <v>8</v>
      </c>
      <c r="B19" s="268" t="s">
        <v>534</v>
      </c>
      <c r="C19" s="270">
        <f>'[1]Ясли сады'!AX14</f>
        <v>87</v>
      </c>
      <c r="D19" s="42">
        <f>'[1]Ясли сады'!FF14</f>
        <v>88847.01</v>
      </c>
      <c r="E19" s="267">
        <f t="shared" si="0"/>
        <v>88847.01</v>
      </c>
      <c r="F19" s="267">
        <f t="shared" si="0"/>
        <v>88847.01</v>
      </c>
    </row>
    <row r="20" spans="1:6" x14ac:dyDescent="0.2">
      <c r="A20" s="150">
        <v>9</v>
      </c>
      <c r="B20" s="268" t="s">
        <v>417</v>
      </c>
      <c r="C20" s="270">
        <f>'[1]Ясли сады'!AX15</f>
        <v>80</v>
      </c>
      <c r="D20" s="42">
        <f>'[1]Ясли сады'!FF15</f>
        <v>81698.399999999994</v>
      </c>
      <c r="E20" s="267">
        <f t="shared" si="0"/>
        <v>81698.399999999994</v>
      </c>
      <c r="F20" s="267">
        <f t="shared" si="0"/>
        <v>81698.399999999994</v>
      </c>
    </row>
    <row r="21" spans="1:6" x14ac:dyDescent="0.2">
      <c r="A21" s="150">
        <v>10</v>
      </c>
      <c r="B21" s="268" t="s">
        <v>436</v>
      </c>
      <c r="C21" s="270">
        <f>'[1]Ясли сады'!AX17</f>
        <v>165</v>
      </c>
      <c r="D21" s="42">
        <f>'[1]Ясли сады'!FF17</f>
        <v>168502.95</v>
      </c>
      <c r="E21" s="267">
        <f t="shared" si="0"/>
        <v>168502.95</v>
      </c>
      <c r="F21" s="267">
        <f t="shared" si="0"/>
        <v>168502.95</v>
      </c>
    </row>
    <row r="22" spans="1:6" x14ac:dyDescent="0.2">
      <c r="A22" s="150">
        <v>11</v>
      </c>
      <c r="B22" s="268" t="s">
        <v>418</v>
      </c>
      <c r="C22" s="270">
        <f>'[1]Ясли сады'!AX18</f>
        <v>31</v>
      </c>
      <c r="D22" s="42">
        <f>'[1]Ясли сады'!FF18</f>
        <v>31658.13</v>
      </c>
      <c r="E22" s="267">
        <f t="shared" si="0"/>
        <v>31658.13</v>
      </c>
      <c r="F22" s="267">
        <f t="shared" si="0"/>
        <v>31658.13</v>
      </c>
    </row>
    <row r="23" spans="1:6" x14ac:dyDescent="0.2">
      <c r="A23" s="150">
        <v>12</v>
      </c>
      <c r="B23" s="268" t="s">
        <v>533</v>
      </c>
      <c r="C23" s="270">
        <f>'[1]Ясли сады'!AX19</f>
        <v>80</v>
      </c>
      <c r="D23" s="42">
        <f>'[1]Ясли сады'!FF19</f>
        <v>81698.399999999994</v>
      </c>
      <c r="E23" s="267">
        <f t="shared" si="0"/>
        <v>81698.399999999994</v>
      </c>
      <c r="F23" s="267">
        <f t="shared" si="0"/>
        <v>81698.399999999994</v>
      </c>
    </row>
    <row r="24" spans="1:6" x14ac:dyDescent="0.2">
      <c r="A24" s="150">
        <v>13</v>
      </c>
      <c r="B24" s="268" t="s">
        <v>439</v>
      </c>
      <c r="C24" s="270">
        <f>'[1]Ясли сады'!AX20</f>
        <v>18</v>
      </c>
      <c r="D24" s="42">
        <f>'[1]Ясли сады'!FF20</f>
        <v>18382.14</v>
      </c>
      <c r="E24" s="267">
        <f t="shared" si="0"/>
        <v>18382.14</v>
      </c>
      <c r="F24" s="267">
        <f t="shared" si="0"/>
        <v>18382.14</v>
      </c>
    </row>
    <row r="25" spans="1:6" x14ac:dyDescent="0.2">
      <c r="A25" s="150">
        <v>14</v>
      </c>
      <c r="B25" s="268" t="s">
        <v>437</v>
      </c>
      <c r="C25" s="270">
        <f>'[1]Ясли сады'!AX21</f>
        <v>26</v>
      </c>
      <c r="D25" s="42">
        <f>'[1]Ясли сады'!FF21</f>
        <v>26551.98</v>
      </c>
      <c r="E25" s="267">
        <f t="shared" si="0"/>
        <v>26551.98</v>
      </c>
      <c r="F25" s="267">
        <f t="shared" si="0"/>
        <v>26551.98</v>
      </c>
    </row>
    <row r="26" spans="1:6" x14ac:dyDescent="0.2">
      <c r="A26" s="150">
        <v>15</v>
      </c>
      <c r="B26" s="268" t="s">
        <v>532</v>
      </c>
      <c r="C26" s="270">
        <f>'[1]Ясли сады'!AX22</f>
        <v>70</v>
      </c>
      <c r="D26" s="42">
        <f>'[1]Ясли сады'!FF22</f>
        <v>71486.100000000006</v>
      </c>
      <c r="E26" s="267">
        <f t="shared" si="0"/>
        <v>71486.100000000006</v>
      </c>
      <c r="F26" s="267">
        <f t="shared" si="0"/>
        <v>71486.100000000006</v>
      </c>
    </row>
    <row r="27" spans="1:6" x14ac:dyDescent="0.2">
      <c r="A27" s="150">
        <v>16</v>
      </c>
      <c r="B27" s="268" t="s">
        <v>531</v>
      </c>
      <c r="C27" s="270">
        <f>'[1]Ясли сады'!AX23</f>
        <v>20</v>
      </c>
      <c r="D27" s="42">
        <f>'[1]Ясли сады'!FF23</f>
        <v>20424.599999999999</v>
      </c>
      <c r="E27" s="267">
        <f t="shared" si="0"/>
        <v>20424.599999999999</v>
      </c>
      <c r="F27" s="267">
        <f t="shared" si="0"/>
        <v>20424.599999999999</v>
      </c>
    </row>
    <row r="28" spans="1:6" x14ac:dyDescent="0.2">
      <c r="A28" s="94"/>
      <c r="B28" s="150" t="s">
        <v>172</v>
      </c>
      <c r="C28" s="150">
        <f>SUM(C12:C27)</f>
        <v>1467</v>
      </c>
      <c r="D28" s="221">
        <f>SUM(D12:D27)</f>
        <v>1505400.41</v>
      </c>
      <c r="E28" s="221">
        <f>SUM(E12:E27)</f>
        <v>1505400.41</v>
      </c>
      <c r="F28" s="221">
        <f>SUM(F12:F27)</f>
        <v>1505400.41</v>
      </c>
    </row>
    <row r="32" spans="1:6" x14ac:dyDescent="0.2">
      <c r="D32" s="57"/>
      <c r="E32" s="57"/>
      <c r="F32" s="57"/>
    </row>
    <row r="33" spans="4:6" x14ac:dyDescent="0.2">
      <c r="D33" s="57"/>
      <c r="E33" s="57"/>
      <c r="F33" s="57"/>
    </row>
  </sheetData>
  <mergeCells count="11">
    <mergeCell ref="A1:F1"/>
    <mergeCell ref="A2:F2"/>
    <mergeCell ref="A3:F3"/>
    <mergeCell ref="A8:F8"/>
    <mergeCell ref="B9:F9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S47"/>
  <sheetViews>
    <sheetView view="pageBreakPreview" zoomScaleNormal="100" zoomScaleSheetLayoutView="100" workbookViewId="0">
      <pane xSplit="1" ySplit="13" topLeftCell="B14" activePane="bottomRight" state="frozen"/>
      <selection activeCell="L20" sqref="L20"/>
      <selection pane="topRight" activeCell="L20" sqref="L20"/>
      <selection pane="bottomLeft" activeCell="L20" sqref="L20"/>
      <selection pane="bottomRight" activeCell="I37" sqref="I37"/>
    </sheetView>
  </sheetViews>
  <sheetFormatPr defaultRowHeight="12.75" x14ac:dyDescent="0.2"/>
  <cols>
    <col min="1" max="1" width="17.85546875" customWidth="1"/>
    <col min="2" max="4" width="10.85546875" customWidth="1"/>
    <col min="5" max="7" width="9.5703125" customWidth="1"/>
    <col min="8" max="10" width="10" customWidth="1"/>
    <col min="11" max="13" width="8.5703125" customWidth="1"/>
    <col min="14" max="16" width="8.42578125" customWidth="1"/>
    <col min="17" max="19" width="11" customWidth="1"/>
  </cols>
  <sheetData>
    <row r="1" spans="1:19" x14ac:dyDescent="0.2">
      <c r="K1" s="477"/>
      <c r="L1" s="477"/>
      <c r="M1" s="477"/>
      <c r="N1" s="477"/>
      <c r="O1" s="477"/>
      <c r="P1" s="477"/>
      <c r="Q1" s="477"/>
      <c r="R1" s="239"/>
      <c r="S1" s="239"/>
    </row>
    <row r="2" spans="1:19" x14ac:dyDescent="0.2">
      <c r="J2" t="s">
        <v>33</v>
      </c>
      <c r="K2" s="478" t="s">
        <v>839</v>
      </c>
      <c r="L2" s="478"/>
      <c r="M2" s="478"/>
      <c r="N2" s="478"/>
      <c r="O2" s="478"/>
      <c r="P2" s="478"/>
      <c r="Q2" s="478"/>
      <c r="R2" s="478"/>
      <c r="S2" s="478"/>
    </row>
    <row r="3" spans="1:19" x14ac:dyDescent="0.2">
      <c r="K3" s="478" t="s">
        <v>840</v>
      </c>
      <c r="L3" s="478"/>
      <c r="M3" s="478"/>
      <c r="N3" s="478"/>
      <c r="O3" s="478"/>
      <c r="P3" s="478"/>
      <c r="Q3" s="478"/>
      <c r="R3" s="478"/>
      <c r="S3" s="478"/>
    </row>
    <row r="4" spans="1:19" ht="12.75" customHeight="1" x14ac:dyDescent="0.2">
      <c r="K4" s="478" t="s">
        <v>875</v>
      </c>
      <c r="L4" s="478"/>
      <c r="M4" s="478"/>
      <c r="N4" s="478"/>
      <c r="O4" s="478"/>
      <c r="P4" s="478"/>
      <c r="Q4" s="478"/>
      <c r="R4" s="478"/>
      <c r="S4" s="478"/>
    </row>
    <row r="5" spans="1:19" ht="15" x14ac:dyDescent="0.2">
      <c r="A5" s="479" t="s">
        <v>841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</row>
    <row r="6" spans="1:19" ht="12.75" customHeight="1" thickBot="1" x14ac:dyDescent="0.25">
      <c r="E6" s="19"/>
      <c r="F6" s="19"/>
      <c r="G6" s="19"/>
      <c r="H6" s="20"/>
      <c r="I6" s="20"/>
      <c r="J6" s="20"/>
      <c r="K6" s="20"/>
      <c r="L6" s="20"/>
      <c r="M6" s="20"/>
      <c r="N6" s="20"/>
      <c r="O6" s="20"/>
      <c r="P6" s="20"/>
      <c r="Q6" s="31" t="s">
        <v>33</v>
      </c>
      <c r="R6" s="31"/>
      <c r="S6" s="31"/>
    </row>
    <row r="7" spans="1:19" ht="31.7" customHeight="1" x14ac:dyDescent="0.2">
      <c r="A7" s="474" t="s">
        <v>155</v>
      </c>
      <c r="B7" s="468" t="s">
        <v>231</v>
      </c>
      <c r="C7" s="469"/>
      <c r="D7" s="470"/>
      <c r="E7" s="468" t="s">
        <v>230</v>
      </c>
      <c r="F7" s="469"/>
      <c r="G7" s="470"/>
      <c r="H7" s="468" t="s">
        <v>83</v>
      </c>
      <c r="I7" s="469"/>
      <c r="J7" s="470"/>
      <c r="K7" s="468" t="s">
        <v>312</v>
      </c>
      <c r="L7" s="469"/>
      <c r="M7" s="470"/>
      <c r="N7" s="468" t="s">
        <v>119</v>
      </c>
      <c r="O7" s="469"/>
      <c r="P7" s="470"/>
      <c r="Q7" s="468" t="s">
        <v>118</v>
      </c>
      <c r="R7" s="469"/>
      <c r="S7" s="469"/>
    </row>
    <row r="8" spans="1:19" ht="12" customHeight="1" x14ac:dyDescent="0.2">
      <c r="A8" s="475"/>
      <c r="B8" s="471"/>
      <c r="C8" s="472"/>
      <c r="D8" s="473"/>
      <c r="E8" s="471"/>
      <c r="F8" s="472"/>
      <c r="G8" s="473"/>
      <c r="H8" s="471"/>
      <c r="I8" s="472"/>
      <c r="J8" s="473"/>
      <c r="K8" s="471"/>
      <c r="L8" s="472"/>
      <c r="M8" s="473"/>
      <c r="N8" s="471"/>
      <c r="O8" s="472"/>
      <c r="P8" s="473"/>
      <c r="Q8" s="471"/>
      <c r="R8" s="472"/>
      <c r="S8" s="472"/>
    </row>
    <row r="9" spans="1:19" ht="25.5" hidden="1" customHeight="1" x14ac:dyDescent="0.2">
      <c r="A9" s="475"/>
      <c r="B9" s="111"/>
      <c r="C9" s="238"/>
      <c r="D9" s="238"/>
      <c r="E9" s="111"/>
      <c r="F9" s="238"/>
      <c r="G9" s="238"/>
      <c r="H9" s="111"/>
      <c r="I9" s="238"/>
      <c r="J9" s="238"/>
      <c r="K9" s="111"/>
      <c r="L9" s="238"/>
      <c r="M9" s="238"/>
      <c r="N9" s="111"/>
      <c r="O9" s="236"/>
      <c r="P9" s="236"/>
      <c r="Q9" s="110"/>
      <c r="R9" s="237"/>
      <c r="S9" s="237"/>
    </row>
    <row r="10" spans="1:19" s="21" customFormat="1" ht="21" hidden="1" customHeight="1" x14ac:dyDescent="0.2">
      <c r="A10" s="475"/>
      <c r="B10" s="111"/>
      <c r="C10" s="238"/>
      <c r="D10" s="238"/>
      <c r="E10" s="111"/>
      <c r="F10" s="238"/>
      <c r="G10" s="238"/>
      <c r="H10" s="111"/>
      <c r="I10" s="238"/>
      <c r="J10" s="238"/>
      <c r="K10" s="111"/>
      <c r="L10" s="238"/>
      <c r="M10" s="238"/>
      <c r="N10" s="111"/>
      <c r="O10" s="236"/>
      <c r="P10" s="236"/>
      <c r="Q10" s="110"/>
      <c r="R10" s="237"/>
      <c r="S10" s="237"/>
    </row>
    <row r="11" spans="1:19" s="8" customFormat="1" ht="30.75" hidden="1" customHeight="1" thickBot="1" x14ac:dyDescent="0.25">
      <c r="A11" s="476"/>
      <c r="B11" s="165" t="s">
        <v>461</v>
      </c>
      <c r="C11" s="165" t="s">
        <v>487</v>
      </c>
      <c r="D11" s="165" t="s">
        <v>772</v>
      </c>
      <c r="E11" s="165" t="s">
        <v>461</v>
      </c>
      <c r="F11" s="165" t="s">
        <v>487</v>
      </c>
      <c r="G11" s="165" t="s">
        <v>772</v>
      </c>
      <c r="H11" s="165" t="s">
        <v>461</v>
      </c>
      <c r="I11" s="165" t="s">
        <v>487</v>
      </c>
      <c r="J11" s="165" t="s">
        <v>772</v>
      </c>
      <c r="K11" s="165" t="s">
        <v>461</v>
      </c>
      <c r="L11" s="165" t="s">
        <v>487</v>
      </c>
      <c r="M11" s="165" t="s">
        <v>772</v>
      </c>
      <c r="N11" s="165" t="s">
        <v>461</v>
      </c>
      <c r="O11" s="165" t="s">
        <v>487</v>
      </c>
      <c r="P11" s="165" t="s">
        <v>772</v>
      </c>
      <c r="Q11" s="165" t="s">
        <v>461</v>
      </c>
      <c r="R11" s="165" t="s">
        <v>487</v>
      </c>
      <c r="S11" s="165" t="s">
        <v>772</v>
      </c>
    </row>
    <row r="12" spans="1:19" ht="12.75" hidden="1" customHeight="1" x14ac:dyDescent="0.2">
      <c r="A12" s="30" t="s">
        <v>218</v>
      </c>
      <c r="B12" s="240">
        <v>84000</v>
      </c>
      <c r="C12" s="240">
        <f>B12</f>
        <v>84000</v>
      </c>
      <c r="D12" s="240">
        <f>C12</f>
        <v>84000</v>
      </c>
      <c r="E12" s="240">
        <v>22000</v>
      </c>
      <c r="F12" s="240">
        <f>E12</f>
        <v>22000</v>
      </c>
      <c r="G12" s="240">
        <f>E12</f>
        <v>22000</v>
      </c>
      <c r="H12" s="240">
        <v>78000</v>
      </c>
      <c r="I12" s="240">
        <f>H12</f>
        <v>78000</v>
      </c>
      <c r="J12" s="240">
        <f>H12</f>
        <v>78000</v>
      </c>
      <c r="K12" s="240">
        <v>8000</v>
      </c>
      <c r="L12" s="240">
        <f>K12</f>
        <v>8000</v>
      </c>
      <c r="M12" s="240">
        <f>K12</f>
        <v>8000</v>
      </c>
      <c r="N12" s="241">
        <v>0</v>
      </c>
      <c r="O12" s="241">
        <f>N12</f>
        <v>0</v>
      </c>
      <c r="P12" s="241">
        <f>O12</f>
        <v>0</v>
      </c>
      <c r="Q12" s="35">
        <f>SUM(N12,K12,H12,E12,B12)</f>
        <v>192000</v>
      </c>
      <c r="R12" s="35">
        <f t="shared" ref="Q12:S31" si="0">SUM(O12,L12,I12,F12,C12)</f>
        <v>192000</v>
      </c>
      <c r="S12" s="35">
        <f t="shared" si="0"/>
        <v>192000</v>
      </c>
    </row>
    <row r="13" spans="1:19" ht="30.75" customHeight="1" x14ac:dyDescent="0.2">
      <c r="A13" s="30" t="s">
        <v>35</v>
      </c>
      <c r="B13" s="240">
        <v>131000</v>
      </c>
      <c r="C13" s="240">
        <f t="shared" ref="C13:D31" si="1">B13</f>
        <v>131000</v>
      </c>
      <c r="D13" s="240">
        <f t="shared" si="1"/>
        <v>131000</v>
      </c>
      <c r="E13" s="240">
        <v>63000</v>
      </c>
      <c r="F13" s="240">
        <f t="shared" ref="F13:F31" si="2">E13</f>
        <v>63000</v>
      </c>
      <c r="G13" s="240">
        <f t="shared" ref="G13:G31" si="3">E13</f>
        <v>63000</v>
      </c>
      <c r="H13" s="240">
        <v>340000</v>
      </c>
      <c r="I13" s="240">
        <f t="shared" ref="I13:I31" si="4">H13</f>
        <v>340000</v>
      </c>
      <c r="J13" s="240">
        <f t="shared" ref="J13:J31" si="5">H13</f>
        <v>340000</v>
      </c>
      <c r="K13" s="240">
        <v>17000</v>
      </c>
      <c r="L13" s="240">
        <f t="shared" ref="L13:L31" si="6">K13</f>
        <v>17000</v>
      </c>
      <c r="M13" s="240">
        <f t="shared" ref="M13:M31" si="7">K13</f>
        <v>17000</v>
      </c>
      <c r="N13" s="241">
        <v>0</v>
      </c>
      <c r="O13" s="241">
        <f t="shared" ref="O13:P31" si="8">N13</f>
        <v>0</v>
      </c>
      <c r="P13" s="241">
        <f t="shared" si="8"/>
        <v>0</v>
      </c>
      <c r="Q13" s="35">
        <f t="shared" si="0"/>
        <v>551000</v>
      </c>
      <c r="R13" s="35">
        <f t="shared" si="0"/>
        <v>551000</v>
      </c>
      <c r="S13" s="35">
        <f t="shared" si="0"/>
        <v>551000</v>
      </c>
    </row>
    <row r="14" spans="1:19" x14ac:dyDescent="0.2">
      <c r="A14" s="30" t="s">
        <v>36</v>
      </c>
      <c r="B14" s="240">
        <v>84000</v>
      </c>
      <c r="C14" s="240">
        <f t="shared" si="1"/>
        <v>84000</v>
      </c>
      <c r="D14" s="240">
        <f t="shared" si="1"/>
        <v>84000</v>
      </c>
      <c r="E14" s="240">
        <v>28000</v>
      </c>
      <c r="F14" s="240">
        <f t="shared" si="2"/>
        <v>28000</v>
      </c>
      <c r="G14" s="240">
        <f t="shared" si="3"/>
        <v>28000</v>
      </c>
      <c r="H14" s="240">
        <v>95000</v>
      </c>
      <c r="I14" s="240">
        <f t="shared" si="4"/>
        <v>95000</v>
      </c>
      <c r="J14" s="240">
        <f t="shared" si="5"/>
        <v>95000</v>
      </c>
      <c r="K14" s="240">
        <v>3000</v>
      </c>
      <c r="L14" s="240">
        <f t="shared" si="6"/>
        <v>3000</v>
      </c>
      <c r="M14" s="240">
        <f t="shared" si="7"/>
        <v>3000</v>
      </c>
      <c r="N14" s="241">
        <v>0</v>
      </c>
      <c r="O14" s="241">
        <f t="shared" si="8"/>
        <v>0</v>
      </c>
      <c r="P14" s="241">
        <f t="shared" si="8"/>
        <v>0</v>
      </c>
      <c r="Q14" s="35">
        <f t="shared" si="0"/>
        <v>210000</v>
      </c>
      <c r="R14" s="35">
        <f t="shared" si="0"/>
        <v>210000</v>
      </c>
      <c r="S14" s="35">
        <f t="shared" si="0"/>
        <v>210000</v>
      </c>
    </row>
    <row r="15" spans="1:19" x14ac:dyDescent="0.2">
      <c r="A15" s="30" t="s">
        <v>37</v>
      </c>
      <c r="B15" s="240">
        <v>45000</v>
      </c>
      <c r="C15" s="240">
        <f t="shared" si="1"/>
        <v>45000</v>
      </c>
      <c r="D15" s="240">
        <f t="shared" si="1"/>
        <v>45000</v>
      </c>
      <c r="E15" s="240">
        <v>3000</v>
      </c>
      <c r="F15" s="240">
        <f t="shared" si="2"/>
        <v>3000</v>
      </c>
      <c r="G15" s="240">
        <f t="shared" si="3"/>
        <v>3000</v>
      </c>
      <c r="H15" s="240">
        <v>30000</v>
      </c>
      <c r="I15" s="240">
        <f t="shared" si="4"/>
        <v>30000</v>
      </c>
      <c r="J15" s="240">
        <f t="shared" si="5"/>
        <v>30000</v>
      </c>
      <c r="K15" s="240">
        <v>3000</v>
      </c>
      <c r="L15" s="240">
        <f t="shared" si="6"/>
        <v>3000</v>
      </c>
      <c r="M15" s="240">
        <f t="shared" si="7"/>
        <v>3000</v>
      </c>
      <c r="N15" s="241">
        <v>0</v>
      </c>
      <c r="O15" s="241">
        <f t="shared" si="8"/>
        <v>0</v>
      </c>
      <c r="P15" s="241">
        <f t="shared" si="8"/>
        <v>0</v>
      </c>
      <c r="Q15" s="35">
        <f t="shared" si="0"/>
        <v>81000</v>
      </c>
      <c r="R15" s="35">
        <f t="shared" si="0"/>
        <v>81000</v>
      </c>
      <c r="S15" s="35">
        <f t="shared" si="0"/>
        <v>81000</v>
      </c>
    </row>
    <row r="16" spans="1:19" x14ac:dyDescent="0.2">
      <c r="A16" s="30" t="s">
        <v>47</v>
      </c>
      <c r="B16" s="240">
        <v>2707000</v>
      </c>
      <c r="C16" s="240">
        <f t="shared" si="1"/>
        <v>2707000</v>
      </c>
      <c r="D16" s="240">
        <f t="shared" si="1"/>
        <v>2707000</v>
      </c>
      <c r="E16" s="240">
        <v>518000</v>
      </c>
      <c r="F16" s="240">
        <f t="shared" si="2"/>
        <v>518000</v>
      </c>
      <c r="G16" s="240">
        <f t="shared" si="3"/>
        <v>518000</v>
      </c>
      <c r="H16" s="240">
        <v>1291000</v>
      </c>
      <c r="I16" s="240">
        <f t="shared" si="4"/>
        <v>1291000</v>
      </c>
      <c r="J16" s="240">
        <f t="shared" si="5"/>
        <v>1291000</v>
      </c>
      <c r="K16" s="240">
        <v>13000</v>
      </c>
      <c r="L16" s="240">
        <f t="shared" si="6"/>
        <v>13000</v>
      </c>
      <c r="M16" s="240">
        <f t="shared" si="7"/>
        <v>13000</v>
      </c>
      <c r="N16" s="241">
        <v>255000</v>
      </c>
      <c r="O16" s="241">
        <f t="shared" si="8"/>
        <v>255000</v>
      </c>
      <c r="P16" s="241">
        <f t="shared" si="8"/>
        <v>255000</v>
      </c>
      <c r="Q16" s="35">
        <f t="shared" si="0"/>
        <v>4784000</v>
      </c>
      <c r="R16" s="35">
        <f t="shared" si="0"/>
        <v>4784000</v>
      </c>
      <c r="S16" s="35">
        <f t="shared" si="0"/>
        <v>4784000</v>
      </c>
    </row>
    <row r="17" spans="1:19" x14ac:dyDescent="0.2">
      <c r="A17" s="30" t="s">
        <v>48</v>
      </c>
      <c r="B17" s="240">
        <v>84000</v>
      </c>
      <c r="C17" s="240">
        <f t="shared" si="1"/>
        <v>84000</v>
      </c>
      <c r="D17" s="240">
        <f t="shared" si="1"/>
        <v>84000</v>
      </c>
      <c r="E17" s="240">
        <v>45000</v>
      </c>
      <c r="F17" s="240">
        <f t="shared" si="2"/>
        <v>45000</v>
      </c>
      <c r="G17" s="240">
        <f t="shared" si="3"/>
        <v>45000</v>
      </c>
      <c r="H17" s="240">
        <v>197000</v>
      </c>
      <c r="I17" s="240">
        <f t="shared" si="4"/>
        <v>197000</v>
      </c>
      <c r="J17" s="240">
        <f t="shared" si="5"/>
        <v>197000</v>
      </c>
      <c r="K17" s="240">
        <v>23000</v>
      </c>
      <c r="L17" s="240">
        <f t="shared" si="6"/>
        <v>23000</v>
      </c>
      <c r="M17" s="240">
        <f t="shared" si="7"/>
        <v>23000</v>
      </c>
      <c r="N17" s="241">
        <v>0</v>
      </c>
      <c r="O17" s="241">
        <f t="shared" si="8"/>
        <v>0</v>
      </c>
      <c r="P17" s="241">
        <f t="shared" si="8"/>
        <v>0</v>
      </c>
      <c r="Q17" s="35">
        <f t="shared" si="0"/>
        <v>349000</v>
      </c>
      <c r="R17" s="35">
        <f t="shared" si="0"/>
        <v>349000</v>
      </c>
      <c r="S17" s="35">
        <f t="shared" si="0"/>
        <v>349000</v>
      </c>
    </row>
    <row r="18" spans="1:19" x14ac:dyDescent="0.2">
      <c r="A18" s="30" t="s">
        <v>49</v>
      </c>
      <c r="B18" s="240">
        <v>83000</v>
      </c>
      <c r="C18" s="240">
        <f t="shared" si="1"/>
        <v>83000</v>
      </c>
      <c r="D18" s="240">
        <f t="shared" si="1"/>
        <v>83000</v>
      </c>
      <c r="E18" s="240">
        <v>24000</v>
      </c>
      <c r="F18" s="240">
        <f t="shared" si="2"/>
        <v>24000</v>
      </c>
      <c r="G18" s="240">
        <f t="shared" si="3"/>
        <v>24000</v>
      </c>
      <c r="H18" s="240">
        <v>191000</v>
      </c>
      <c r="I18" s="240">
        <f t="shared" si="4"/>
        <v>191000</v>
      </c>
      <c r="J18" s="240">
        <f t="shared" si="5"/>
        <v>191000</v>
      </c>
      <c r="K18" s="240">
        <v>4000</v>
      </c>
      <c r="L18" s="240">
        <f t="shared" si="6"/>
        <v>4000</v>
      </c>
      <c r="M18" s="240">
        <f t="shared" si="7"/>
        <v>4000</v>
      </c>
      <c r="N18" s="241">
        <v>55000</v>
      </c>
      <c r="O18" s="241">
        <f t="shared" si="8"/>
        <v>55000</v>
      </c>
      <c r="P18" s="241">
        <f t="shared" si="8"/>
        <v>55000</v>
      </c>
      <c r="Q18" s="35">
        <f t="shared" si="0"/>
        <v>357000</v>
      </c>
      <c r="R18" s="35">
        <f t="shared" si="0"/>
        <v>357000</v>
      </c>
      <c r="S18" s="35">
        <f t="shared" si="0"/>
        <v>357000</v>
      </c>
    </row>
    <row r="19" spans="1:19" x14ac:dyDescent="0.2">
      <c r="A19" s="30" t="s">
        <v>50</v>
      </c>
      <c r="B19" s="240">
        <v>39000</v>
      </c>
      <c r="C19" s="240">
        <f t="shared" si="1"/>
        <v>39000</v>
      </c>
      <c r="D19" s="240">
        <f t="shared" si="1"/>
        <v>39000</v>
      </c>
      <c r="E19" s="240">
        <v>7000</v>
      </c>
      <c r="F19" s="240">
        <f t="shared" si="2"/>
        <v>7000</v>
      </c>
      <c r="G19" s="240">
        <f t="shared" si="3"/>
        <v>7000</v>
      </c>
      <c r="H19" s="240">
        <v>55000</v>
      </c>
      <c r="I19" s="240">
        <f t="shared" si="4"/>
        <v>55000</v>
      </c>
      <c r="J19" s="240">
        <f t="shared" si="5"/>
        <v>55000</v>
      </c>
      <c r="K19" s="240">
        <v>0</v>
      </c>
      <c r="L19" s="240">
        <f t="shared" si="6"/>
        <v>0</v>
      </c>
      <c r="M19" s="240">
        <f t="shared" si="7"/>
        <v>0</v>
      </c>
      <c r="N19" s="241">
        <v>0</v>
      </c>
      <c r="O19" s="241">
        <f t="shared" si="8"/>
        <v>0</v>
      </c>
      <c r="P19" s="241">
        <f t="shared" si="8"/>
        <v>0</v>
      </c>
      <c r="Q19" s="35">
        <f t="shared" si="0"/>
        <v>101000</v>
      </c>
      <c r="R19" s="35">
        <f t="shared" si="0"/>
        <v>101000</v>
      </c>
      <c r="S19" s="35">
        <f t="shared" si="0"/>
        <v>101000</v>
      </c>
    </row>
    <row r="20" spans="1:19" x14ac:dyDescent="0.2">
      <c r="A20" s="30" t="s">
        <v>51</v>
      </c>
      <c r="B20" s="240">
        <v>30000</v>
      </c>
      <c r="C20" s="240">
        <f t="shared" si="1"/>
        <v>30000</v>
      </c>
      <c r="D20" s="240">
        <f t="shared" si="1"/>
        <v>30000</v>
      </c>
      <c r="E20" s="240">
        <v>11000</v>
      </c>
      <c r="F20" s="240">
        <f t="shared" si="2"/>
        <v>11000</v>
      </c>
      <c r="G20" s="240">
        <f t="shared" si="3"/>
        <v>11000</v>
      </c>
      <c r="H20" s="240">
        <v>23000</v>
      </c>
      <c r="I20" s="240">
        <f t="shared" si="4"/>
        <v>23000</v>
      </c>
      <c r="J20" s="240">
        <f t="shared" si="5"/>
        <v>23000</v>
      </c>
      <c r="K20" s="240">
        <v>1000</v>
      </c>
      <c r="L20" s="240">
        <f t="shared" si="6"/>
        <v>1000</v>
      </c>
      <c r="M20" s="240">
        <f t="shared" si="7"/>
        <v>1000</v>
      </c>
      <c r="N20" s="241">
        <v>0</v>
      </c>
      <c r="O20" s="241">
        <f t="shared" si="8"/>
        <v>0</v>
      </c>
      <c r="P20" s="241">
        <f t="shared" si="8"/>
        <v>0</v>
      </c>
      <c r="Q20" s="35">
        <f t="shared" si="0"/>
        <v>65000</v>
      </c>
      <c r="R20" s="35">
        <f t="shared" si="0"/>
        <v>65000</v>
      </c>
      <c r="S20" s="35">
        <f t="shared" si="0"/>
        <v>65000</v>
      </c>
    </row>
    <row r="21" spans="1:19" x14ac:dyDescent="0.2">
      <c r="A21" s="30" t="s">
        <v>52</v>
      </c>
      <c r="B21" s="240">
        <v>23000</v>
      </c>
      <c r="C21" s="240">
        <f t="shared" si="1"/>
        <v>23000</v>
      </c>
      <c r="D21" s="240">
        <f t="shared" si="1"/>
        <v>23000</v>
      </c>
      <c r="E21" s="240">
        <v>4000</v>
      </c>
      <c r="F21" s="240">
        <f t="shared" si="2"/>
        <v>4000</v>
      </c>
      <c r="G21" s="240">
        <f t="shared" si="3"/>
        <v>4000</v>
      </c>
      <c r="H21" s="240">
        <v>17000</v>
      </c>
      <c r="I21" s="240">
        <f t="shared" si="4"/>
        <v>17000</v>
      </c>
      <c r="J21" s="240">
        <f t="shared" si="5"/>
        <v>17000</v>
      </c>
      <c r="K21" s="240">
        <v>0</v>
      </c>
      <c r="L21" s="240">
        <f t="shared" si="6"/>
        <v>0</v>
      </c>
      <c r="M21" s="240">
        <f t="shared" si="7"/>
        <v>0</v>
      </c>
      <c r="N21" s="241">
        <v>0</v>
      </c>
      <c r="O21" s="241">
        <f t="shared" si="8"/>
        <v>0</v>
      </c>
      <c r="P21" s="241">
        <f t="shared" si="8"/>
        <v>0</v>
      </c>
      <c r="Q21" s="35">
        <f t="shared" si="0"/>
        <v>44000</v>
      </c>
      <c r="R21" s="35">
        <f t="shared" si="0"/>
        <v>44000</v>
      </c>
      <c r="S21" s="35">
        <f t="shared" si="0"/>
        <v>44000</v>
      </c>
    </row>
    <row r="22" spans="1:19" x14ac:dyDescent="0.2">
      <c r="A22" s="30" t="s">
        <v>16</v>
      </c>
      <c r="B22" s="240">
        <v>22000</v>
      </c>
      <c r="C22" s="240">
        <f t="shared" si="1"/>
        <v>22000</v>
      </c>
      <c r="D22" s="240">
        <f t="shared" si="1"/>
        <v>22000</v>
      </c>
      <c r="E22" s="240">
        <v>6000</v>
      </c>
      <c r="F22" s="240">
        <f t="shared" si="2"/>
        <v>6000</v>
      </c>
      <c r="G22" s="240">
        <f t="shared" si="3"/>
        <v>6000</v>
      </c>
      <c r="H22" s="240">
        <v>16000</v>
      </c>
      <c r="I22" s="240">
        <f t="shared" si="4"/>
        <v>16000</v>
      </c>
      <c r="J22" s="240">
        <f t="shared" si="5"/>
        <v>16000</v>
      </c>
      <c r="K22" s="240">
        <v>0</v>
      </c>
      <c r="L22" s="240">
        <f t="shared" si="6"/>
        <v>0</v>
      </c>
      <c r="M22" s="240">
        <f t="shared" si="7"/>
        <v>0</v>
      </c>
      <c r="N22" s="241">
        <v>0</v>
      </c>
      <c r="O22" s="241">
        <f t="shared" si="8"/>
        <v>0</v>
      </c>
      <c r="P22" s="241">
        <f t="shared" si="8"/>
        <v>0</v>
      </c>
      <c r="Q22" s="35">
        <f t="shared" si="0"/>
        <v>44000</v>
      </c>
      <c r="R22" s="35">
        <f t="shared" si="0"/>
        <v>44000</v>
      </c>
      <c r="S22" s="35">
        <f t="shared" si="0"/>
        <v>44000</v>
      </c>
    </row>
    <row r="23" spans="1:19" x14ac:dyDescent="0.2">
      <c r="A23" s="30" t="s">
        <v>191</v>
      </c>
      <c r="B23" s="240">
        <v>45000</v>
      </c>
      <c r="C23" s="240">
        <f t="shared" si="1"/>
        <v>45000</v>
      </c>
      <c r="D23" s="240">
        <f t="shared" si="1"/>
        <v>45000</v>
      </c>
      <c r="E23" s="240">
        <v>26000</v>
      </c>
      <c r="F23" s="240">
        <f t="shared" si="2"/>
        <v>26000</v>
      </c>
      <c r="G23" s="240">
        <f t="shared" si="3"/>
        <v>26000</v>
      </c>
      <c r="H23" s="240">
        <v>71000</v>
      </c>
      <c r="I23" s="240">
        <f t="shared" si="4"/>
        <v>71000</v>
      </c>
      <c r="J23" s="240">
        <f t="shared" si="5"/>
        <v>71000</v>
      </c>
      <c r="K23" s="240">
        <v>1000</v>
      </c>
      <c r="L23" s="240">
        <f t="shared" si="6"/>
        <v>1000</v>
      </c>
      <c r="M23" s="240">
        <f t="shared" si="7"/>
        <v>1000</v>
      </c>
      <c r="N23" s="241">
        <v>0</v>
      </c>
      <c r="O23" s="241">
        <f t="shared" si="8"/>
        <v>0</v>
      </c>
      <c r="P23" s="241">
        <f t="shared" si="8"/>
        <v>0</v>
      </c>
      <c r="Q23" s="35">
        <f t="shared" si="0"/>
        <v>143000</v>
      </c>
      <c r="R23" s="35">
        <f t="shared" si="0"/>
        <v>143000</v>
      </c>
      <c r="S23" s="35">
        <f t="shared" si="0"/>
        <v>143000</v>
      </c>
    </row>
    <row r="24" spans="1:19" x14ac:dyDescent="0.2">
      <c r="A24" s="30" t="s">
        <v>192</v>
      </c>
      <c r="B24" s="240">
        <v>87000</v>
      </c>
      <c r="C24" s="240">
        <f t="shared" si="1"/>
        <v>87000</v>
      </c>
      <c r="D24" s="240">
        <f t="shared" si="1"/>
        <v>87000</v>
      </c>
      <c r="E24" s="240">
        <v>47000</v>
      </c>
      <c r="F24" s="240">
        <f t="shared" si="2"/>
        <v>47000</v>
      </c>
      <c r="G24" s="240">
        <f t="shared" si="3"/>
        <v>47000</v>
      </c>
      <c r="H24" s="240">
        <v>327000</v>
      </c>
      <c r="I24" s="240">
        <f t="shared" si="4"/>
        <v>327000</v>
      </c>
      <c r="J24" s="240">
        <f t="shared" si="5"/>
        <v>327000</v>
      </c>
      <c r="K24" s="240">
        <v>0</v>
      </c>
      <c r="L24" s="240">
        <f t="shared" si="6"/>
        <v>0</v>
      </c>
      <c r="M24" s="240">
        <f t="shared" si="7"/>
        <v>0</v>
      </c>
      <c r="N24" s="241">
        <v>0</v>
      </c>
      <c r="O24" s="241">
        <f t="shared" si="8"/>
        <v>0</v>
      </c>
      <c r="P24" s="241">
        <f t="shared" si="8"/>
        <v>0</v>
      </c>
      <c r="Q24" s="35">
        <f t="shared" si="0"/>
        <v>461000</v>
      </c>
      <c r="R24" s="35">
        <f t="shared" si="0"/>
        <v>461000</v>
      </c>
      <c r="S24" s="35">
        <f t="shared" si="0"/>
        <v>461000</v>
      </c>
    </row>
    <row r="25" spans="1:19" x14ac:dyDescent="0.2">
      <c r="A25" s="30" t="s">
        <v>193</v>
      </c>
      <c r="B25" s="240">
        <v>79000</v>
      </c>
      <c r="C25" s="240">
        <f t="shared" si="1"/>
        <v>79000</v>
      </c>
      <c r="D25" s="240">
        <f t="shared" si="1"/>
        <v>79000</v>
      </c>
      <c r="E25" s="240">
        <v>22000</v>
      </c>
      <c r="F25" s="240">
        <f t="shared" si="2"/>
        <v>22000</v>
      </c>
      <c r="G25" s="240">
        <f t="shared" si="3"/>
        <v>22000</v>
      </c>
      <c r="H25" s="240">
        <v>62000</v>
      </c>
      <c r="I25" s="240">
        <f t="shared" si="4"/>
        <v>62000</v>
      </c>
      <c r="J25" s="240">
        <f t="shared" si="5"/>
        <v>62000</v>
      </c>
      <c r="K25" s="240">
        <v>0</v>
      </c>
      <c r="L25" s="240">
        <f t="shared" si="6"/>
        <v>0</v>
      </c>
      <c r="M25" s="240">
        <f t="shared" si="7"/>
        <v>0</v>
      </c>
      <c r="N25" s="241">
        <v>0</v>
      </c>
      <c r="O25" s="241">
        <f t="shared" si="8"/>
        <v>0</v>
      </c>
      <c r="P25" s="241">
        <f t="shared" si="8"/>
        <v>0</v>
      </c>
      <c r="Q25" s="35">
        <f t="shared" si="0"/>
        <v>163000</v>
      </c>
      <c r="R25" s="35">
        <f t="shared" si="0"/>
        <v>163000</v>
      </c>
      <c r="S25" s="35">
        <f t="shared" si="0"/>
        <v>163000</v>
      </c>
    </row>
    <row r="26" spans="1:19" x14ac:dyDescent="0.2">
      <c r="A26" s="30" t="s">
        <v>146</v>
      </c>
      <c r="B26" s="240">
        <v>26000</v>
      </c>
      <c r="C26" s="240">
        <f t="shared" si="1"/>
        <v>26000</v>
      </c>
      <c r="D26" s="240">
        <f t="shared" si="1"/>
        <v>26000</v>
      </c>
      <c r="E26" s="240">
        <v>5000</v>
      </c>
      <c r="F26" s="240">
        <f t="shared" si="2"/>
        <v>5000</v>
      </c>
      <c r="G26" s="240">
        <f t="shared" si="3"/>
        <v>5000</v>
      </c>
      <c r="H26" s="240">
        <v>52000</v>
      </c>
      <c r="I26" s="240">
        <f t="shared" si="4"/>
        <v>52000</v>
      </c>
      <c r="J26" s="240">
        <f t="shared" si="5"/>
        <v>52000</v>
      </c>
      <c r="K26" s="240">
        <v>15000</v>
      </c>
      <c r="L26" s="240">
        <f t="shared" si="6"/>
        <v>15000</v>
      </c>
      <c r="M26" s="240">
        <f t="shared" si="7"/>
        <v>15000</v>
      </c>
      <c r="N26" s="241">
        <v>0</v>
      </c>
      <c r="O26" s="241">
        <f t="shared" si="8"/>
        <v>0</v>
      </c>
      <c r="P26" s="241">
        <f t="shared" si="8"/>
        <v>0</v>
      </c>
      <c r="Q26" s="35">
        <f t="shared" si="0"/>
        <v>98000</v>
      </c>
      <c r="R26" s="35">
        <f t="shared" si="0"/>
        <v>98000</v>
      </c>
      <c r="S26" s="35">
        <f t="shared" si="0"/>
        <v>98000</v>
      </c>
    </row>
    <row r="27" spans="1:19" x14ac:dyDescent="0.2">
      <c r="A27" s="30" t="s">
        <v>147</v>
      </c>
      <c r="B27" s="240">
        <v>31000</v>
      </c>
      <c r="C27" s="240">
        <f t="shared" si="1"/>
        <v>31000</v>
      </c>
      <c r="D27" s="240">
        <f t="shared" si="1"/>
        <v>31000</v>
      </c>
      <c r="E27" s="240">
        <v>6000</v>
      </c>
      <c r="F27" s="240">
        <f t="shared" si="2"/>
        <v>6000</v>
      </c>
      <c r="G27" s="240">
        <f t="shared" si="3"/>
        <v>6000</v>
      </c>
      <c r="H27" s="240">
        <v>29000</v>
      </c>
      <c r="I27" s="240">
        <f t="shared" si="4"/>
        <v>29000</v>
      </c>
      <c r="J27" s="240">
        <f t="shared" si="5"/>
        <v>29000</v>
      </c>
      <c r="K27" s="240">
        <v>2000</v>
      </c>
      <c r="L27" s="240">
        <f t="shared" si="6"/>
        <v>2000</v>
      </c>
      <c r="M27" s="240">
        <f t="shared" si="7"/>
        <v>2000</v>
      </c>
      <c r="N27" s="241">
        <v>0</v>
      </c>
      <c r="O27" s="241">
        <f t="shared" si="8"/>
        <v>0</v>
      </c>
      <c r="P27" s="241">
        <f t="shared" si="8"/>
        <v>0</v>
      </c>
      <c r="Q27" s="35">
        <f t="shared" si="0"/>
        <v>68000</v>
      </c>
      <c r="R27" s="35">
        <f t="shared" si="0"/>
        <v>68000</v>
      </c>
      <c r="S27" s="35">
        <f t="shared" si="0"/>
        <v>68000</v>
      </c>
    </row>
    <row r="28" spans="1:19" x14ac:dyDescent="0.2">
      <c r="A28" s="30" t="s">
        <v>148</v>
      </c>
      <c r="B28" s="240">
        <v>88000</v>
      </c>
      <c r="C28" s="240">
        <f t="shared" si="1"/>
        <v>88000</v>
      </c>
      <c r="D28" s="240">
        <f t="shared" si="1"/>
        <v>88000</v>
      </c>
      <c r="E28" s="240">
        <v>37000</v>
      </c>
      <c r="F28" s="240">
        <f t="shared" si="2"/>
        <v>37000</v>
      </c>
      <c r="G28" s="240">
        <f t="shared" si="3"/>
        <v>37000</v>
      </c>
      <c r="H28" s="240">
        <v>158000</v>
      </c>
      <c r="I28" s="240">
        <f t="shared" si="4"/>
        <v>158000</v>
      </c>
      <c r="J28" s="240">
        <f t="shared" si="5"/>
        <v>158000</v>
      </c>
      <c r="K28" s="240">
        <v>0</v>
      </c>
      <c r="L28" s="240">
        <f t="shared" si="6"/>
        <v>0</v>
      </c>
      <c r="M28" s="240">
        <f t="shared" si="7"/>
        <v>0</v>
      </c>
      <c r="N28" s="241">
        <v>0</v>
      </c>
      <c r="O28" s="241">
        <f t="shared" si="8"/>
        <v>0</v>
      </c>
      <c r="P28" s="241">
        <f t="shared" si="8"/>
        <v>0</v>
      </c>
      <c r="Q28" s="35">
        <f t="shared" si="0"/>
        <v>283000</v>
      </c>
      <c r="R28" s="35">
        <f t="shared" si="0"/>
        <v>283000</v>
      </c>
      <c r="S28" s="35">
        <f t="shared" si="0"/>
        <v>283000</v>
      </c>
    </row>
    <row r="29" spans="1:19" x14ac:dyDescent="0.2">
      <c r="A29" s="30" t="s">
        <v>149</v>
      </c>
      <c r="B29" s="240">
        <v>53000</v>
      </c>
      <c r="C29" s="240">
        <f t="shared" si="1"/>
        <v>53000</v>
      </c>
      <c r="D29" s="240">
        <f t="shared" si="1"/>
        <v>53000</v>
      </c>
      <c r="E29" s="240">
        <v>2000</v>
      </c>
      <c r="F29" s="240">
        <f t="shared" si="2"/>
        <v>2000</v>
      </c>
      <c r="G29" s="240">
        <f t="shared" si="3"/>
        <v>2000</v>
      </c>
      <c r="H29" s="240">
        <v>13000</v>
      </c>
      <c r="I29" s="240">
        <f t="shared" si="4"/>
        <v>13000</v>
      </c>
      <c r="J29" s="240">
        <f t="shared" si="5"/>
        <v>13000</v>
      </c>
      <c r="K29" s="240">
        <v>14000</v>
      </c>
      <c r="L29" s="240">
        <f t="shared" si="6"/>
        <v>14000</v>
      </c>
      <c r="M29" s="240">
        <f t="shared" si="7"/>
        <v>14000</v>
      </c>
      <c r="N29" s="241">
        <v>0</v>
      </c>
      <c r="O29" s="241">
        <f t="shared" si="8"/>
        <v>0</v>
      </c>
      <c r="P29" s="241">
        <f t="shared" si="8"/>
        <v>0</v>
      </c>
      <c r="Q29" s="35">
        <f t="shared" si="0"/>
        <v>82000</v>
      </c>
      <c r="R29" s="35">
        <f t="shared" si="0"/>
        <v>82000</v>
      </c>
      <c r="S29" s="35">
        <f t="shared" si="0"/>
        <v>82000</v>
      </c>
    </row>
    <row r="30" spans="1:19" x14ac:dyDescent="0.2">
      <c r="A30" s="30" t="s">
        <v>150</v>
      </c>
      <c r="B30" s="240">
        <v>29000</v>
      </c>
      <c r="C30" s="240">
        <f t="shared" si="1"/>
        <v>29000</v>
      </c>
      <c r="D30" s="240">
        <f t="shared" si="1"/>
        <v>29000</v>
      </c>
      <c r="E30" s="240">
        <v>2000</v>
      </c>
      <c r="F30" s="240">
        <f t="shared" si="2"/>
        <v>2000</v>
      </c>
      <c r="G30" s="240">
        <f t="shared" si="3"/>
        <v>2000</v>
      </c>
      <c r="H30" s="240">
        <v>12000</v>
      </c>
      <c r="I30" s="240">
        <f t="shared" si="4"/>
        <v>12000</v>
      </c>
      <c r="J30" s="240">
        <f t="shared" si="5"/>
        <v>12000</v>
      </c>
      <c r="K30" s="240">
        <v>1000</v>
      </c>
      <c r="L30" s="240">
        <f t="shared" si="6"/>
        <v>1000</v>
      </c>
      <c r="M30" s="240">
        <f t="shared" si="7"/>
        <v>1000</v>
      </c>
      <c r="N30" s="241">
        <v>0</v>
      </c>
      <c r="O30" s="241">
        <f t="shared" si="8"/>
        <v>0</v>
      </c>
      <c r="P30" s="241">
        <f t="shared" si="8"/>
        <v>0</v>
      </c>
      <c r="Q30" s="35">
        <f t="shared" si="0"/>
        <v>44000</v>
      </c>
      <c r="R30" s="35">
        <f t="shared" si="0"/>
        <v>44000</v>
      </c>
      <c r="S30" s="35">
        <f t="shared" si="0"/>
        <v>44000</v>
      </c>
    </row>
    <row r="31" spans="1:19" ht="13.5" thickBot="1" x14ac:dyDescent="0.25">
      <c r="A31" s="30" t="s">
        <v>151</v>
      </c>
      <c r="B31" s="240">
        <v>36000</v>
      </c>
      <c r="C31" s="240">
        <f t="shared" si="1"/>
        <v>36000</v>
      </c>
      <c r="D31" s="240">
        <f t="shared" si="1"/>
        <v>36000</v>
      </c>
      <c r="E31" s="240">
        <v>5000</v>
      </c>
      <c r="F31" s="240">
        <f t="shared" si="2"/>
        <v>5000</v>
      </c>
      <c r="G31" s="240">
        <f t="shared" si="3"/>
        <v>5000</v>
      </c>
      <c r="H31" s="240">
        <v>59000</v>
      </c>
      <c r="I31" s="240">
        <f t="shared" si="4"/>
        <v>59000</v>
      </c>
      <c r="J31" s="240">
        <f t="shared" si="5"/>
        <v>59000</v>
      </c>
      <c r="K31" s="240">
        <v>4000</v>
      </c>
      <c r="L31" s="240">
        <f t="shared" si="6"/>
        <v>4000</v>
      </c>
      <c r="M31" s="240">
        <f t="shared" si="7"/>
        <v>4000</v>
      </c>
      <c r="N31" s="241">
        <v>0</v>
      </c>
      <c r="O31" s="241">
        <f t="shared" si="8"/>
        <v>0</v>
      </c>
      <c r="P31" s="241">
        <f t="shared" si="8"/>
        <v>0</v>
      </c>
      <c r="Q31" s="35">
        <f t="shared" si="0"/>
        <v>104000</v>
      </c>
      <c r="R31" s="35">
        <f t="shared" si="0"/>
        <v>104000</v>
      </c>
      <c r="S31" s="35">
        <f t="shared" si="0"/>
        <v>104000</v>
      </c>
    </row>
    <row r="32" spans="1:19" ht="13.5" thickBot="1" x14ac:dyDescent="0.25">
      <c r="A32" s="29" t="s">
        <v>172</v>
      </c>
      <c r="B32" s="242">
        <f>SUM(B12:B31)</f>
        <v>3806000</v>
      </c>
      <c r="C32" s="242">
        <f t="shared" ref="C32:S32" si="9">SUM(C12:C31)</f>
        <v>3806000</v>
      </c>
      <c r="D32" s="242">
        <f t="shared" si="9"/>
        <v>3806000</v>
      </c>
      <c r="E32" s="242">
        <f t="shared" si="9"/>
        <v>883000</v>
      </c>
      <c r="F32" s="242">
        <f t="shared" si="9"/>
        <v>883000</v>
      </c>
      <c r="G32" s="242">
        <f t="shared" si="9"/>
        <v>883000</v>
      </c>
      <c r="H32" s="242">
        <f t="shared" si="9"/>
        <v>3116000</v>
      </c>
      <c r="I32" s="242">
        <f t="shared" si="9"/>
        <v>3116000</v>
      </c>
      <c r="J32" s="242">
        <f t="shared" si="9"/>
        <v>3116000</v>
      </c>
      <c r="K32" s="242">
        <f t="shared" si="9"/>
        <v>109000</v>
      </c>
      <c r="L32" s="242">
        <f t="shared" si="9"/>
        <v>109000</v>
      </c>
      <c r="M32" s="242">
        <f t="shared" si="9"/>
        <v>109000</v>
      </c>
      <c r="N32" s="242">
        <f t="shared" si="9"/>
        <v>310000</v>
      </c>
      <c r="O32" s="242">
        <f t="shared" si="9"/>
        <v>310000</v>
      </c>
      <c r="P32" s="242">
        <f t="shared" si="9"/>
        <v>310000</v>
      </c>
      <c r="Q32" s="242">
        <f t="shared" si="9"/>
        <v>8224000</v>
      </c>
      <c r="R32" s="242">
        <f t="shared" si="9"/>
        <v>8224000</v>
      </c>
      <c r="S32" s="242">
        <f t="shared" si="9"/>
        <v>8224000</v>
      </c>
    </row>
    <row r="33" spans="1:19" x14ac:dyDescent="0.2">
      <c r="A33" s="21"/>
      <c r="B33" s="21"/>
      <c r="C33" s="21"/>
      <c r="D33" s="21"/>
      <c r="E33" s="22"/>
      <c r="F33" s="22"/>
      <c r="G33" s="22"/>
      <c r="H33" s="22"/>
      <c r="I33" s="22"/>
      <c r="J33" s="22"/>
      <c r="K33" s="23"/>
      <c r="L33" s="23"/>
      <c r="M33" s="23"/>
      <c r="N33" s="21"/>
      <c r="O33" s="21"/>
      <c r="P33" s="21"/>
      <c r="Q33" s="21"/>
      <c r="R33" s="21"/>
      <c r="S33" s="21"/>
    </row>
    <row r="34" spans="1:19" s="4" customFormat="1" ht="11.25" x14ac:dyDescent="0.2">
      <c r="A34" s="4" t="s">
        <v>842</v>
      </c>
      <c r="B34" s="78"/>
      <c r="C34" s="78"/>
      <c r="D34" s="78"/>
      <c r="E34" s="80"/>
      <c r="F34" s="80"/>
      <c r="G34" s="80"/>
      <c r="H34" s="80"/>
      <c r="I34" s="80"/>
      <c r="J34" s="80"/>
      <c r="K34" s="78"/>
      <c r="L34" s="78"/>
      <c r="M34" s="78"/>
      <c r="N34" s="78"/>
      <c r="O34" s="78"/>
      <c r="P34" s="78"/>
      <c r="Q34" s="78"/>
      <c r="R34" s="78"/>
      <c r="S34" s="78"/>
    </row>
    <row r="35" spans="1:19" s="4" customFormat="1" ht="11.25" x14ac:dyDescent="0.2">
      <c r="A35" s="4" t="s">
        <v>769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1:19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47" spans="1:19" x14ac:dyDescent="0.2">
      <c r="Q47" s="2"/>
      <c r="R47" s="2"/>
      <c r="S47" s="2"/>
    </row>
  </sheetData>
  <mergeCells count="12">
    <mergeCell ref="K1:Q1"/>
    <mergeCell ref="K2:S2"/>
    <mergeCell ref="K3:S3"/>
    <mergeCell ref="K4:S4"/>
    <mergeCell ref="A5:S5"/>
    <mergeCell ref="N7:P8"/>
    <mergeCell ref="Q7:S8"/>
    <mergeCell ref="A7:A11"/>
    <mergeCell ref="B7:D8"/>
    <mergeCell ref="E7:G8"/>
    <mergeCell ref="H7:J8"/>
    <mergeCell ref="K7:M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F63"/>
  <sheetViews>
    <sheetView view="pageBreakPreview" zoomScale="85" zoomScaleNormal="100" zoomScaleSheetLayoutView="85" workbookViewId="0">
      <selection sqref="A1:XFD1048576"/>
    </sheetView>
  </sheetViews>
  <sheetFormatPr defaultRowHeight="15" x14ac:dyDescent="0.2"/>
  <cols>
    <col min="1" max="1" width="78.140625" style="101" customWidth="1"/>
    <col min="2" max="2" width="15.140625" style="105" customWidth="1"/>
    <col min="3" max="3" width="13.7109375" style="101" customWidth="1"/>
    <col min="4" max="4" width="12.85546875" style="101" customWidth="1"/>
  </cols>
  <sheetData>
    <row r="1" spans="1:6" ht="12.75" x14ac:dyDescent="0.2">
      <c r="A1" s="25"/>
      <c r="B1" s="480" t="s">
        <v>843</v>
      </c>
      <c r="C1" s="480"/>
      <c r="D1" s="480"/>
    </row>
    <row r="2" spans="1:6" ht="12.75" x14ac:dyDescent="0.2">
      <c r="A2" s="481" t="s">
        <v>81</v>
      </c>
      <c r="B2" s="481"/>
      <c r="C2" s="481"/>
      <c r="D2" s="481"/>
    </row>
    <row r="3" spans="1:6" ht="15.75" customHeight="1" x14ac:dyDescent="0.2">
      <c r="A3" s="480" t="s">
        <v>876</v>
      </c>
      <c r="B3" s="480"/>
      <c r="C3" s="480"/>
      <c r="D3" s="480"/>
    </row>
    <row r="4" spans="1:6" ht="15" customHeight="1" x14ac:dyDescent="0.2">
      <c r="A4" s="482" t="s">
        <v>844</v>
      </c>
      <c r="B4" s="483"/>
      <c r="C4" s="483"/>
      <c r="D4" s="483"/>
    </row>
    <row r="5" spans="1:6" ht="15" customHeight="1" x14ac:dyDescent="0.2">
      <c r="A5" s="60"/>
      <c r="B5" s="60"/>
      <c r="C5" s="102"/>
      <c r="D5" s="102"/>
    </row>
    <row r="6" spans="1:6" ht="18" customHeight="1" x14ac:dyDescent="0.2">
      <c r="A6" s="102"/>
      <c r="B6" s="103"/>
      <c r="C6" s="102"/>
      <c r="D6" s="161" t="s">
        <v>286</v>
      </c>
    </row>
    <row r="7" spans="1:6" ht="12.75" x14ac:dyDescent="0.2">
      <c r="A7" s="484" t="s">
        <v>209</v>
      </c>
      <c r="B7" s="485" t="s">
        <v>845</v>
      </c>
      <c r="C7" s="485" t="s">
        <v>846</v>
      </c>
      <c r="D7" s="485" t="s">
        <v>847</v>
      </c>
    </row>
    <row r="8" spans="1:6" ht="84" customHeight="1" x14ac:dyDescent="0.2">
      <c r="A8" s="484"/>
      <c r="B8" s="485"/>
      <c r="C8" s="485"/>
      <c r="D8" s="485"/>
    </row>
    <row r="9" spans="1:6" ht="21.6" customHeight="1" x14ac:dyDescent="0.2">
      <c r="A9" s="257" t="s">
        <v>606</v>
      </c>
      <c r="B9" s="99">
        <f>SUM(B10,B12,B15,B17,B20)</f>
        <v>174274</v>
      </c>
      <c r="C9" s="99">
        <f>SUM(C10,C12,C15,C17,C20)</f>
        <v>135156</v>
      </c>
      <c r="D9" s="99">
        <f>SUM(D10,D12,D15,D17,D20)</f>
        <v>165850</v>
      </c>
    </row>
    <row r="10" spans="1:6" ht="22.5" customHeight="1" x14ac:dyDescent="0.2">
      <c r="A10" s="255" t="s">
        <v>210</v>
      </c>
      <c r="B10" s="99">
        <f>SUM(B11)</f>
        <v>121600</v>
      </c>
      <c r="C10" s="99">
        <f>SUM(C11)</f>
        <v>91170</v>
      </c>
      <c r="D10" s="99">
        <f>SUM(D11)</f>
        <v>121600</v>
      </c>
    </row>
    <row r="11" spans="1:6" ht="15.75" x14ac:dyDescent="0.2">
      <c r="A11" s="254" t="s">
        <v>211</v>
      </c>
      <c r="B11" s="119">
        <v>121600</v>
      </c>
      <c r="C11" s="119">
        <v>91170</v>
      </c>
      <c r="D11" s="119">
        <v>121600</v>
      </c>
      <c r="F11" s="104"/>
    </row>
    <row r="12" spans="1:6" ht="15.75" x14ac:dyDescent="0.2">
      <c r="A12" s="255" t="s">
        <v>234</v>
      </c>
      <c r="B12" s="99">
        <f>SUM(B13,B14)</f>
        <v>270</v>
      </c>
      <c r="C12" s="99">
        <f>SUM(C13,C14)</f>
        <v>175</v>
      </c>
      <c r="D12" s="99">
        <f>SUM(D13,D14)</f>
        <v>180</v>
      </c>
    </row>
    <row r="13" spans="1:6" ht="15.75" x14ac:dyDescent="0.2">
      <c r="A13" s="254" t="s">
        <v>235</v>
      </c>
      <c r="B13" s="119"/>
      <c r="C13" s="119"/>
      <c r="D13" s="119"/>
      <c r="F13" s="104"/>
    </row>
    <row r="14" spans="1:6" ht="15.75" x14ac:dyDescent="0.2">
      <c r="A14" s="254" t="s">
        <v>236</v>
      </c>
      <c r="B14" s="119">
        <v>270</v>
      </c>
      <c r="C14" s="119">
        <v>175</v>
      </c>
      <c r="D14" s="119">
        <v>180</v>
      </c>
      <c r="F14" s="104"/>
    </row>
    <row r="15" spans="1:6" ht="15.75" x14ac:dyDescent="0.2">
      <c r="A15" s="255" t="s">
        <v>195</v>
      </c>
      <c r="B15" s="99">
        <f>SUM(B16)</f>
        <v>29014</v>
      </c>
      <c r="C15" s="99">
        <f>SUM(C16)</f>
        <v>30500</v>
      </c>
      <c r="D15" s="99">
        <f>SUM(D16)</f>
        <v>30500</v>
      </c>
    </row>
    <row r="16" spans="1:6" ht="15.75" x14ac:dyDescent="0.2">
      <c r="A16" s="254" t="s">
        <v>603</v>
      </c>
      <c r="B16" s="119">
        <v>29014</v>
      </c>
      <c r="C16" s="119">
        <v>30500</v>
      </c>
      <c r="D16" s="119">
        <v>30500</v>
      </c>
    </row>
    <row r="17" spans="1:6" ht="15.75" x14ac:dyDescent="0.2">
      <c r="A17" s="255" t="s">
        <v>248</v>
      </c>
      <c r="B17" s="99">
        <f>SUM(B18,B19)</f>
        <v>20290</v>
      </c>
      <c r="C17" s="99">
        <f>SUM(C18,C19)</f>
        <v>11480</v>
      </c>
      <c r="D17" s="99">
        <f>SUM(D18,D19)</f>
        <v>11670</v>
      </c>
      <c r="F17" s="104"/>
    </row>
    <row r="18" spans="1:6" ht="15.75" x14ac:dyDescent="0.2">
      <c r="A18" s="254" t="s">
        <v>604</v>
      </c>
      <c r="B18" s="119">
        <v>20200</v>
      </c>
      <c r="C18" s="119">
        <v>11311</v>
      </c>
      <c r="D18" s="119">
        <v>11500</v>
      </c>
      <c r="F18" s="104"/>
    </row>
    <row r="19" spans="1:6" ht="31.5" x14ac:dyDescent="0.2">
      <c r="A19" s="67" t="s">
        <v>456</v>
      </c>
      <c r="B19" s="119">
        <v>90</v>
      </c>
      <c r="C19" s="119">
        <v>169</v>
      </c>
      <c r="D19" s="119">
        <v>170</v>
      </c>
      <c r="F19" s="104"/>
    </row>
    <row r="20" spans="1:6" ht="15.75" x14ac:dyDescent="0.2">
      <c r="A20" s="255" t="s">
        <v>237</v>
      </c>
      <c r="B20" s="99">
        <f>SUM(B21,B22)</f>
        <v>3100</v>
      </c>
      <c r="C20" s="99">
        <f>SUM(C21,C22)</f>
        <v>1831</v>
      </c>
      <c r="D20" s="99">
        <f>SUM(D21,D22)</f>
        <v>1900</v>
      </c>
      <c r="F20" s="104"/>
    </row>
    <row r="21" spans="1:6" ht="15.75" x14ac:dyDescent="0.2">
      <c r="A21" s="254" t="s">
        <v>601</v>
      </c>
      <c r="B21" s="119">
        <v>3100</v>
      </c>
      <c r="C21" s="119">
        <v>1831</v>
      </c>
      <c r="D21" s="119">
        <v>1900</v>
      </c>
      <c r="F21" s="104"/>
    </row>
    <row r="22" spans="1:6" ht="31.5" x14ac:dyDescent="0.2">
      <c r="A22" s="254" t="s">
        <v>602</v>
      </c>
      <c r="B22" s="119"/>
      <c r="C22" s="119"/>
      <c r="D22" s="119"/>
    </row>
    <row r="23" spans="1:6" ht="15.75" x14ac:dyDescent="0.2">
      <c r="A23" s="255" t="s">
        <v>190</v>
      </c>
      <c r="B23" s="99">
        <f>SUM(B24,B26,B28,B30,B33)</f>
        <v>5600</v>
      </c>
      <c r="C23" s="99">
        <f>SUM(C24,C26,C28,C30,C33)</f>
        <v>9050</v>
      </c>
      <c r="D23" s="99">
        <f>SUM(D24,D26,D28,D30,D33)</f>
        <v>9327</v>
      </c>
    </row>
    <row r="24" spans="1:6" ht="31.5" x14ac:dyDescent="0.2">
      <c r="A24" s="255" t="s">
        <v>238</v>
      </c>
      <c r="B24" s="99">
        <f>SUM(B25)</f>
        <v>100</v>
      </c>
      <c r="C24" s="99">
        <f>SUM(C25)</f>
        <v>104</v>
      </c>
      <c r="D24" s="99">
        <f>SUM(D25)</f>
        <v>104</v>
      </c>
    </row>
    <row r="25" spans="1:6" ht="15.75" x14ac:dyDescent="0.2">
      <c r="A25" s="254" t="s">
        <v>163</v>
      </c>
      <c r="B25" s="119">
        <v>100</v>
      </c>
      <c r="C25" s="119">
        <v>104</v>
      </c>
      <c r="D25" s="119">
        <v>104</v>
      </c>
      <c r="E25" s="86"/>
      <c r="F25" s="104"/>
    </row>
    <row r="26" spans="1:6" ht="15.75" x14ac:dyDescent="0.2">
      <c r="A26" s="255" t="s">
        <v>239</v>
      </c>
      <c r="B26" s="99">
        <f>SUM(B27)</f>
        <v>0</v>
      </c>
      <c r="C26" s="99">
        <f>SUM(C27)</f>
        <v>0</v>
      </c>
      <c r="D26" s="99">
        <f>SUM(D27)</f>
        <v>0</v>
      </c>
    </row>
    <row r="27" spans="1:6" ht="15.75" x14ac:dyDescent="0.2">
      <c r="A27" s="254" t="s">
        <v>240</v>
      </c>
      <c r="B27" s="119">
        <v>0</v>
      </c>
      <c r="C27" s="119">
        <v>0</v>
      </c>
      <c r="D27" s="119">
        <v>0</v>
      </c>
    </row>
    <row r="28" spans="1:6" ht="31.5" x14ac:dyDescent="0.25">
      <c r="A28" s="258" t="s">
        <v>241</v>
      </c>
      <c r="B28" s="99">
        <f>SUM(B29)</f>
        <v>5150</v>
      </c>
      <c r="C28" s="99">
        <f>SUM(C29)</f>
        <v>3723</v>
      </c>
      <c r="D28" s="99">
        <f>SUM(D29)</f>
        <v>4000</v>
      </c>
    </row>
    <row r="29" spans="1:6" ht="47.25" x14ac:dyDescent="0.25">
      <c r="A29" s="259" t="s">
        <v>41</v>
      </c>
      <c r="B29" s="119">
        <v>5150</v>
      </c>
      <c r="C29" s="119">
        <v>3723</v>
      </c>
      <c r="D29" s="119">
        <v>4000</v>
      </c>
      <c r="E29" s="85"/>
      <c r="F29" s="148"/>
    </row>
    <row r="30" spans="1:6" ht="31.5" x14ac:dyDescent="0.2">
      <c r="A30" s="255" t="s">
        <v>42</v>
      </c>
      <c r="B30" s="99">
        <f>SUM(B31,B32)</f>
        <v>350</v>
      </c>
      <c r="C30" s="99">
        <f>SUM(C31,C32)</f>
        <v>5223</v>
      </c>
      <c r="D30" s="99">
        <f>SUM(D31,D32)</f>
        <v>5223</v>
      </c>
    </row>
    <row r="31" spans="1:6" ht="78.75" x14ac:dyDescent="0.2">
      <c r="A31" s="254" t="s">
        <v>12</v>
      </c>
      <c r="B31" s="119">
        <v>350</v>
      </c>
      <c r="C31" s="119">
        <v>5223</v>
      </c>
      <c r="D31" s="119">
        <v>5223</v>
      </c>
    </row>
    <row r="32" spans="1:6" ht="31.5" x14ac:dyDescent="0.2">
      <c r="A32" s="254" t="s">
        <v>307</v>
      </c>
      <c r="B32" s="119"/>
      <c r="C32" s="119"/>
      <c r="D32" s="119"/>
    </row>
    <row r="33" spans="1:6" ht="15.75" x14ac:dyDescent="0.2">
      <c r="A33" s="260" t="s">
        <v>189</v>
      </c>
      <c r="B33" s="100">
        <f>SUM(B34)</f>
        <v>0</v>
      </c>
      <c r="C33" s="100">
        <f>SUM(C34)</f>
        <v>0</v>
      </c>
      <c r="D33" s="100">
        <f>SUM(D34)</f>
        <v>0</v>
      </c>
      <c r="F33" s="149"/>
    </row>
    <row r="34" spans="1:6" ht="15.75" x14ac:dyDescent="0.2">
      <c r="A34" s="261" t="s">
        <v>605</v>
      </c>
      <c r="B34" s="256"/>
      <c r="C34" s="256"/>
      <c r="D34" s="256"/>
      <c r="F34" s="149"/>
    </row>
    <row r="35" spans="1:6" ht="47.25" x14ac:dyDescent="0.2">
      <c r="A35" s="262" t="s">
        <v>29</v>
      </c>
      <c r="B35" s="99">
        <f>SUM(B36:B38)</f>
        <v>1214319</v>
      </c>
      <c r="C35" s="99">
        <f>SUM(C36:C38)</f>
        <v>1054575</v>
      </c>
      <c r="D35" s="99">
        <f>SUM(D36:D38)</f>
        <v>1214319</v>
      </c>
    </row>
    <row r="36" spans="1:6" ht="15.75" x14ac:dyDescent="0.2">
      <c r="A36" s="254" t="s">
        <v>175</v>
      </c>
      <c r="B36" s="119">
        <v>243827</v>
      </c>
      <c r="C36" s="119">
        <v>204416</v>
      </c>
      <c r="D36" s="119">
        <v>243827</v>
      </c>
      <c r="F36" s="148"/>
    </row>
    <row r="37" spans="1:6" ht="15.75" x14ac:dyDescent="0.2">
      <c r="A37" s="254" t="s">
        <v>176</v>
      </c>
      <c r="B37" s="119">
        <v>146548</v>
      </c>
      <c r="C37" s="119">
        <v>128702</v>
      </c>
      <c r="D37" s="119">
        <v>146548</v>
      </c>
    </row>
    <row r="38" spans="1:6" ht="19.5" customHeight="1" x14ac:dyDescent="0.2">
      <c r="A38" s="254" t="s">
        <v>177</v>
      </c>
      <c r="B38" s="119">
        <v>823944</v>
      </c>
      <c r="C38" s="119">
        <v>721457</v>
      </c>
      <c r="D38" s="119">
        <v>823944</v>
      </c>
      <c r="F38" s="148"/>
    </row>
    <row r="39" spans="1:6" ht="15.75" x14ac:dyDescent="0.2">
      <c r="A39" s="262" t="s">
        <v>188</v>
      </c>
      <c r="B39" s="99">
        <f>SUM(B40,B41,B42)</f>
        <v>0</v>
      </c>
      <c r="C39" s="99">
        <f>SUM(C40,C41,C42)</f>
        <v>0</v>
      </c>
      <c r="D39" s="99">
        <f>SUM(D40,D41,D42)</f>
        <v>0</v>
      </c>
    </row>
    <row r="40" spans="1:6" ht="15.75" x14ac:dyDescent="0.2">
      <c r="A40" s="88" t="s">
        <v>754</v>
      </c>
      <c r="B40" s="119"/>
      <c r="C40" s="119"/>
      <c r="D40" s="119"/>
    </row>
    <row r="41" spans="1:6" ht="31.5" x14ac:dyDescent="0.2">
      <c r="A41" s="88" t="s">
        <v>755</v>
      </c>
      <c r="B41" s="119"/>
      <c r="C41" s="119"/>
      <c r="D41" s="119"/>
    </row>
    <row r="42" spans="1:6" ht="15.75" x14ac:dyDescent="0.2">
      <c r="A42" s="254" t="s">
        <v>756</v>
      </c>
      <c r="B42" s="119"/>
      <c r="C42" s="119"/>
      <c r="D42" s="119"/>
    </row>
    <row r="43" spans="1:6" ht="15.75" x14ac:dyDescent="0.2">
      <c r="A43" s="263" t="s">
        <v>232</v>
      </c>
      <c r="B43" s="99">
        <f>SUM(B9,B23,B35,B39)</f>
        <v>1394193</v>
      </c>
      <c r="C43" s="99">
        <f>SUM(C9,C23,C35,C39)</f>
        <v>1198781</v>
      </c>
      <c r="D43" s="99">
        <f>SUM(D9,D23,D35,D39)</f>
        <v>1389496</v>
      </c>
    </row>
    <row r="44" spans="1:6" ht="15.75" x14ac:dyDescent="0.2">
      <c r="A44" s="257" t="s">
        <v>233</v>
      </c>
      <c r="B44" s="99"/>
      <c r="C44" s="99"/>
      <c r="D44" s="99"/>
    </row>
    <row r="45" spans="1:6" ht="15.75" x14ac:dyDescent="0.2">
      <c r="A45" s="254" t="s">
        <v>8</v>
      </c>
      <c r="B45" s="119">
        <v>41319</v>
      </c>
      <c r="C45" s="119">
        <v>34784</v>
      </c>
      <c r="D45" s="119">
        <v>41319</v>
      </c>
    </row>
    <row r="46" spans="1:6" ht="15.75" x14ac:dyDescent="0.2">
      <c r="A46" s="254" t="s">
        <v>111</v>
      </c>
      <c r="B46" s="119">
        <v>3297</v>
      </c>
      <c r="C46" s="119">
        <v>3297</v>
      </c>
      <c r="D46" s="119">
        <v>3297</v>
      </c>
    </row>
    <row r="47" spans="1:6" ht="15.75" x14ac:dyDescent="0.2">
      <c r="A47" s="254" t="s">
        <v>17</v>
      </c>
      <c r="B47" s="119">
        <v>6777</v>
      </c>
      <c r="C47" s="119">
        <v>5275</v>
      </c>
      <c r="D47" s="119">
        <v>5500</v>
      </c>
    </row>
    <row r="48" spans="1:6" ht="15.75" x14ac:dyDescent="0.2">
      <c r="A48" s="254" t="s">
        <v>95</v>
      </c>
      <c r="B48" s="119">
        <v>58074</v>
      </c>
      <c r="C48" s="119">
        <v>51175</v>
      </c>
      <c r="D48" s="119">
        <v>52000</v>
      </c>
    </row>
    <row r="49" spans="1:4" ht="15.75" x14ac:dyDescent="0.2">
      <c r="A49" s="254" t="s">
        <v>79</v>
      </c>
      <c r="B49" s="119">
        <v>67808</v>
      </c>
      <c r="C49" s="119">
        <v>52117</v>
      </c>
      <c r="D49" s="119">
        <v>55000</v>
      </c>
    </row>
    <row r="50" spans="1:4" ht="15.75" x14ac:dyDescent="0.2">
      <c r="A50" s="254" t="s">
        <v>173</v>
      </c>
      <c r="B50" s="119">
        <v>1043027</v>
      </c>
      <c r="C50" s="119">
        <v>897404</v>
      </c>
      <c r="D50" s="119">
        <v>900000</v>
      </c>
    </row>
    <row r="51" spans="1:4" ht="15.75" x14ac:dyDescent="0.2">
      <c r="A51" s="254" t="s">
        <v>120</v>
      </c>
      <c r="B51" s="119">
        <v>35241</v>
      </c>
      <c r="C51" s="119">
        <v>31139</v>
      </c>
      <c r="D51" s="119">
        <v>32000</v>
      </c>
    </row>
    <row r="52" spans="1:4" ht="15.75" x14ac:dyDescent="0.2">
      <c r="A52" s="254" t="s">
        <v>77</v>
      </c>
      <c r="B52" s="119">
        <v>12750</v>
      </c>
      <c r="C52" s="119">
        <v>8217</v>
      </c>
      <c r="D52" s="119">
        <v>10000</v>
      </c>
    </row>
    <row r="53" spans="1:4" ht="15.75" x14ac:dyDescent="0.2">
      <c r="A53" s="254" t="s">
        <v>169</v>
      </c>
      <c r="B53" s="119">
        <v>10954</v>
      </c>
      <c r="C53" s="119">
        <v>9424</v>
      </c>
      <c r="D53" s="119">
        <v>10954</v>
      </c>
    </row>
    <row r="54" spans="1:4" ht="15.75" x14ac:dyDescent="0.2">
      <c r="A54" s="254" t="s">
        <v>171</v>
      </c>
      <c r="B54" s="119">
        <v>6683</v>
      </c>
      <c r="C54" s="119">
        <v>5465</v>
      </c>
      <c r="D54" s="119">
        <v>6000</v>
      </c>
    </row>
    <row r="55" spans="1:4" ht="15.75" x14ac:dyDescent="0.2">
      <c r="A55" s="254" t="s">
        <v>141</v>
      </c>
      <c r="B55" s="119">
        <v>12</v>
      </c>
      <c r="C55" s="119">
        <v>12</v>
      </c>
      <c r="D55" s="119">
        <v>12</v>
      </c>
    </row>
    <row r="56" spans="1:4" ht="15.75" x14ac:dyDescent="0.2">
      <c r="A56" s="254" t="s">
        <v>30</v>
      </c>
      <c r="B56" s="119">
        <v>108436</v>
      </c>
      <c r="C56" s="119">
        <v>96952</v>
      </c>
      <c r="D56" s="119">
        <v>108436</v>
      </c>
    </row>
    <row r="57" spans="1:4" ht="15.75" x14ac:dyDescent="0.2">
      <c r="A57" s="264" t="s">
        <v>31</v>
      </c>
      <c r="B57" s="99">
        <f>SUM(B45:B56)</f>
        <v>1394378</v>
      </c>
      <c r="C57" s="99">
        <f>SUM(C45:C56)</f>
        <v>1195261</v>
      </c>
      <c r="D57" s="99">
        <f>SUM(D45:D56)</f>
        <v>1224518</v>
      </c>
    </row>
    <row r="58" spans="1:4" ht="15.75" x14ac:dyDescent="0.2">
      <c r="A58" s="255" t="s">
        <v>607</v>
      </c>
      <c r="B58" s="99">
        <f>B43-B57</f>
        <v>-185</v>
      </c>
      <c r="C58" s="99">
        <f>C43-C57</f>
        <v>3520</v>
      </c>
      <c r="D58" s="99">
        <f>D43-D57</f>
        <v>164978</v>
      </c>
    </row>
    <row r="59" spans="1:4" ht="15.75" x14ac:dyDescent="0.2">
      <c r="A59" s="265" t="s">
        <v>32</v>
      </c>
      <c r="B59" s="308">
        <f>B58/B57*100</f>
        <v>-1.3267564462434147E-2</v>
      </c>
      <c r="C59" s="308">
        <f>C58/C57*100</f>
        <v>0.29449634849626988</v>
      </c>
      <c r="D59" s="308">
        <f>D58/D57*100</f>
        <v>13.472893007697722</v>
      </c>
    </row>
    <row r="60" spans="1:4" ht="15.75" x14ac:dyDescent="0.2">
      <c r="A60" s="102"/>
      <c r="B60" s="104"/>
      <c r="C60" s="102"/>
      <c r="D60" s="102"/>
    </row>
    <row r="61" spans="1:4" ht="15.75" x14ac:dyDescent="0.2">
      <c r="A61" s="102"/>
      <c r="B61" s="104"/>
      <c r="C61" s="102"/>
      <c r="D61" s="102"/>
    </row>
    <row r="62" spans="1:4" ht="15.75" x14ac:dyDescent="0.2">
      <c r="A62" s="102"/>
      <c r="B62" s="104"/>
      <c r="C62" s="102"/>
      <c r="D62" s="102"/>
    </row>
    <row r="63" spans="1:4" ht="15.75" x14ac:dyDescent="0.2">
      <c r="A63" s="102"/>
      <c r="B63" s="104"/>
      <c r="C63" s="102"/>
      <c r="D63" s="102"/>
    </row>
  </sheetData>
  <mergeCells count="8">
    <mergeCell ref="B1:D1"/>
    <mergeCell ref="A2:D2"/>
    <mergeCell ref="A3:D3"/>
    <mergeCell ref="A4:D4"/>
    <mergeCell ref="A7:A8"/>
    <mergeCell ref="B7:B8"/>
    <mergeCell ref="C7:C8"/>
    <mergeCell ref="D7:D8"/>
  </mergeCells>
  <pageMargins left="0.78740157480314965" right="0.74803149606299213" top="0.27559055118110237" bottom="0.15748031496062992" header="0.23622047244094491" footer="0.15748031496062992"/>
  <pageSetup paperSize="9" scale="73" fitToHeight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Q38"/>
  <sheetViews>
    <sheetView zoomScaleNormal="100" workbookViewId="0">
      <selection activeCell="R27" sqref="R27"/>
    </sheetView>
  </sheetViews>
  <sheetFormatPr defaultRowHeight="12.75" x14ac:dyDescent="0.2"/>
  <cols>
    <col min="1" max="1" width="25.42578125" customWidth="1"/>
    <col min="2" max="2" width="9.7109375" customWidth="1"/>
    <col min="3" max="3" width="7.140625" customWidth="1"/>
    <col min="4" max="4" width="9.42578125" customWidth="1"/>
    <col min="5" max="6" width="9" customWidth="1"/>
    <col min="7" max="7" width="11.5703125" customWidth="1"/>
    <col min="11" max="11" width="3.85546875" customWidth="1"/>
  </cols>
  <sheetData>
    <row r="1" spans="1:16" x14ac:dyDescent="0.2">
      <c r="B1" s="486" t="s">
        <v>848</v>
      </c>
      <c r="C1" s="486"/>
      <c r="D1" s="486"/>
      <c r="E1" s="486"/>
      <c r="F1" s="486"/>
      <c r="G1" s="486"/>
      <c r="H1" s="486"/>
      <c r="I1" s="486"/>
    </row>
    <row r="2" spans="1:16" x14ac:dyDescent="0.2">
      <c r="B2" s="486" t="s">
        <v>81</v>
      </c>
      <c r="C2" s="486"/>
      <c r="D2" s="486"/>
      <c r="E2" s="486"/>
      <c r="F2" s="486"/>
      <c r="G2" s="486"/>
      <c r="H2" s="486"/>
      <c r="I2" s="486"/>
    </row>
    <row r="3" spans="1:16" x14ac:dyDescent="0.2">
      <c r="B3" s="486" t="s">
        <v>877</v>
      </c>
      <c r="C3" s="486"/>
      <c r="D3" s="486"/>
      <c r="E3" s="486"/>
      <c r="F3" s="486"/>
      <c r="G3" s="486"/>
      <c r="H3" s="486"/>
      <c r="I3" s="486"/>
    </row>
    <row r="4" spans="1:16" x14ac:dyDescent="0.2">
      <c r="A4" s="487" t="s">
        <v>850</v>
      </c>
      <c r="B4" s="487"/>
      <c r="C4" s="487"/>
      <c r="D4" s="487"/>
      <c r="E4" s="487"/>
      <c r="F4" s="487"/>
      <c r="G4" s="487"/>
      <c r="H4" s="487"/>
      <c r="I4" s="487"/>
      <c r="J4" s="72"/>
      <c r="K4" s="72"/>
      <c r="M4" s="72"/>
    </row>
    <row r="5" spans="1:16" x14ac:dyDescent="0.2">
      <c r="A5" s="350"/>
      <c r="B5" s="350"/>
      <c r="C5" s="350"/>
      <c r="D5" s="350"/>
      <c r="E5" s="350"/>
      <c r="F5" s="350"/>
      <c r="G5" s="350"/>
      <c r="H5" s="488" t="s">
        <v>470</v>
      </c>
      <c r="I5" s="488"/>
      <c r="J5" s="72"/>
      <c r="K5" s="72"/>
      <c r="M5" s="72"/>
    </row>
    <row r="6" spans="1:16" ht="44.65" customHeight="1" x14ac:dyDescent="0.2">
      <c r="A6" s="350"/>
      <c r="B6" s="489" t="s">
        <v>325</v>
      </c>
      <c r="C6" s="490"/>
      <c r="D6" s="490"/>
      <c r="E6" s="490"/>
      <c r="F6" s="490"/>
      <c r="G6" s="490"/>
      <c r="H6" s="490"/>
      <c r="I6" s="491"/>
      <c r="J6" s="72"/>
      <c r="K6" s="72"/>
      <c r="M6" s="72"/>
    </row>
    <row r="7" spans="1:16" ht="14.25" customHeight="1" x14ac:dyDescent="0.2">
      <c r="A7" s="492" t="s">
        <v>40</v>
      </c>
      <c r="B7" s="494" t="s">
        <v>461</v>
      </c>
      <c r="C7" s="496"/>
      <c r="D7" s="496"/>
      <c r="E7" s="496"/>
      <c r="F7" s="496"/>
      <c r="G7" s="496"/>
      <c r="H7" s="363" t="s">
        <v>487</v>
      </c>
      <c r="I7" s="363" t="s">
        <v>772</v>
      </c>
      <c r="J7" s="72"/>
      <c r="K7" s="72"/>
      <c r="L7" s="72"/>
      <c r="N7" s="72"/>
    </row>
    <row r="8" spans="1:16" ht="13.7" customHeight="1" x14ac:dyDescent="0.2">
      <c r="A8" s="493"/>
      <c r="B8" s="495"/>
      <c r="C8" s="82" t="s">
        <v>462</v>
      </c>
      <c r="D8" s="121" t="s">
        <v>463</v>
      </c>
      <c r="E8" s="82" t="s">
        <v>464</v>
      </c>
      <c r="F8" s="155" t="s">
        <v>465</v>
      </c>
      <c r="G8" s="156" t="s">
        <v>466</v>
      </c>
      <c r="H8" s="363"/>
      <c r="I8" s="363"/>
      <c r="J8" s="72" t="s">
        <v>33</v>
      </c>
      <c r="K8" s="72"/>
      <c r="L8" s="72"/>
      <c r="M8" s="4"/>
      <c r="N8" s="72"/>
    </row>
    <row r="9" spans="1:16" ht="17.850000000000001" customHeight="1" thickBot="1" x14ac:dyDescent="0.25">
      <c r="A9" s="123" t="s">
        <v>60</v>
      </c>
      <c r="B9" s="123" t="s">
        <v>61</v>
      </c>
      <c r="C9" s="123" t="s">
        <v>63</v>
      </c>
      <c r="D9" s="351" t="s">
        <v>64</v>
      </c>
      <c r="E9" s="123" t="s">
        <v>65</v>
      </c>
      <c r="F9" s="351" t="s">
        <v>13</v>
      </c>
      <c r="G9" s="123" t="s">
        <v>14</v>
      </c>
      <c r="H9" s="123" t="s">
        <v>127</v>
      </c>
      <c r="I9" s="351" t="s">
        <v>227</v>
      </c>
    </row>
    <row r="10" spans="1:16" ht="94.7" customHeight="1" x14ac:dyDescent="0.2">
      <c r="A10" s="153" t="s">
        <v>218</v>
      </c>
      <c r="B10" s="154">
        <f>SUM(C10:G10)</f>
        <v>556576.50216807763</v>
      </c>
      <c r="C10" s="52">
        <f>'[1]Расч дот РФФПП'!V7*1%</f>
        <v>5565.765021680776</v>
      </c>
      <c r="D10" s="52">
        <f>'[1]Расч дот РФФПП'!V7*22%</f>
        <v>122446.83047697708</v>
      </c>
      <c r="E10" s="52">
        <f>'[1]Расч дот РФФПП'!V7*1%</f>
        <v>5565.765021680776</v>
      </c>
      <c r="F10" s="52">
        <f>'[1]Расч дот РФФПП'!V7*55%</f>
        <v>306117.07619244274</v>
      </c>
      <c r="G10" s="52">
        <f>'[1]Расч дот РФФПП'!V7*21%</f>
        <v>116881.0654552963</v>
      </c>
      <c r="H10" s="341">
        <f>B10</f>
        <v>556576.50216807763</v>
      </c>
      <c r="I10" s="341">
        <f>H10</f>
        <v>556576.50216807763</v>
      </c>
      <c r="J10" s="57"/>
      <c r="K10" s="57"/>
      <c r="L10" s="57"/>
      <c r="M10" s="57"/>
      <c r="N10" s="57"/>
      <c r="O10" s="57"/>
      <c r="P10" s="2"/>
    </row>
    <row r="11" spans="1:16" ht="13.5" customHeight="1" x14ac:dyDescent="0.2">
      <c r="A11" s="27" t="s">
        <v>35</v>
      </c>
      <c r="B11" s="154">
        <f t="shared" ref="B11:B29" si="0">SUM(C11:G11)</f>
        <v>1398781.7468511255</v>
      </c>
      <c r="C11" s="52">
        <f>'[1]Расч дот РФФПП'!V8*1%</f>
        <v>13987.817468511255</v>
      </c>
      <c r="D11" s="52">
        <f>'[1]Расч дот РФФПП'!V8*22%</f>
        <v>307731.98430724762</v>
      </c>
      <c r="E11" s="52">
        <f>'[1]Расч дот РФФПП'!V8*1%</f>
        <v>13987.817468511255</v>
      </c>
      <c r="F11" s="52">
        <f>'[1]Расч дот РФФПП'!V8*55%</f>
        <v>769329.96076811908</v>
      </c>
      <c r="G11" s="52">
        <f>'[1]Расч дот РФФПП'!V8*21%</f>
        <v>293744.16683873633</v>
      </c>
      <c r="H11" s="341">
        <f t="shared" ref="H11:H29" si="1">B11</f>
        <v>1398781.7468511255</v>
      </c>
      <c r="I11" s="341">
        <f t="shared" ref="I11:I29" si="2">H11</f>
        <v>1398781.7468511255</v>
      </c>
      <c r="J11" s="57"/>
      <c r="K11" s="57"/>
      <c r="L11" s="57"/>
      <c r="M11" s="57"/>
      <c r="N11" s="57"/>
      <c r="O11" s="57"/>
      <c r="P11" s="2"/>
    </row>
    <row r="12" spans="1:16" x14ac:dyDescent="0.2">
      <c r="A12" s="27" t="s">
        <v>36</v>
      </c>
      <c r="B12" s="154">
        <f>SUM(C12:G12)+1</f>
        <v>1035101.7233119968</v>
      </c>
      <c r="C12" s="52">
        <f>'[1]Расч дот РФФПП'!V9*1%</f>
        <v>10351.022093743548</v>
      </c>
      <c r="D12" s="52">
        <v>227721</v>
      </c>
      <c r="E12" s="52">
        <f>'[1]Расч дот РФФПП'!V9*1%</f>
        <v>10351.022093743548</v>
      </c>
      <c r="F12" s="52">
        <f>'[1]Расч дот РФФПП'!V9*55%</f>
        <v>569306.21515589522</v>
      </c>
      <c r="G12" s="52">
        <f>'[1]Расч дот РФФПП'!V9*21%</f>
        <v>217371.46396861449</v>
      </c>
      <c r="H12" s="341">
        <f t="shared" si="1"/>
        <v>1035101.7233119968</v>
      </c>
      <c r="I12" s="341">
        <f t="shared" si="2"/>
        <v>1035101.7233119968</v>
      </c>
      <c r="J12" s="57"/>
      <c r="K12" s="57"/>
      <c r="L12" s="57"/>
      <c r="M12" s="57"/>
      <c r="N12" s="57"/>
      <c r="O12" s="57"/>
      <c r="P12" s="2"/>
    </row>
    <row r="13" spans="1:16" x14ac:dyDescent="0.2">
      <c r="A13" s="27" t="s">
        <v>37</v>
      </c>
      <c r="B13" s="154">
        <f t="shared" si="0"/>
        <v>178215.98182944459</v>
      </c>
      <c r="C13" s="52">
        <f>'[1]Расч дот РФФПП'!V10*1%</f>
        <v>1782.1598182944458</v>
      </c>
      <c r="D13" s="52">
        <f>'[1]Расч дот РФФПП'!V10*22%</f>
        <v>39207.516002477809</v>
      </c>
      <c r="E13" s="52">
        <f>'[1]Расч дот РФФПП'!V10*1%</f>
        <v>1782.1598182944458</v>
      </c>
      <c r="F13" s="52">
        <f>'[1]Расч дот РФФПП'!V10*55%</f>
        <v>98018.790006194526</v>
      </c>
      <c r="G13" s="52">
        <f>'[1]Расч дот РФФПП'!V10*21%</f>
        <v>37425.356184183365</v>
      </c>
      <c r="H13" s="341">
        <f t="shared" si="1"/>
        <v>178215.98182944459</v>
      </c>
      <c r="I13" s="341">
        <f t="shared" si="2"/>
        <v>178215.98182944459</v>
      </c>
      <c r="J13" s="57"/>
      <c r="K13" s="57"/>
      <c r="L13" s="57"/>
      <c r="M13" s="57"/>
      <c r="N13" s="57"/>
      <c r="O13" s="57"/>
      <c r="P13" s="2"/>
    </row>
    <row r="14" spans="1:16" x14ac:dyDescent="0.2">
      <c r="A14" s="27" t="s">
        <v>278</v>
      </c>
      <c r="B14" s="154">
        <f t="shared" si="0"/>
        <v>0</v>
      </c>
      <c r="C14" s="52">
        <f>'[1]Расч дот РФФПП'!V11*1%</f>
        <v>0</v>
      </c>
      <c r="D14" s="52">
        <f>'[1]Расч дот РФФПП'!V11*22%</f>
        <v>0</v>
      </c>
      <c r="E14" s="52">
        <f>'[1]Расч дот РФФПП'!V11*1%</f>
        <v>0</v>
      </c>
      <c r="F14" s="52">
        <f>'[1]Расч дот РФФПП'!V11*55%</f>
        <v>0</v>
      </c>
      <c r="G14" s="52">
        <f>'[1]Расч дот РФФПП'!V11*21%</f>
        <v>0</v>
      </c>
      <c r="H14" s="341">
        <f t="shared" si="1"/>
        <v>0</v>
      </c>
      <c r="I14" s="341">
        <f t="shared" si="2"/>
        <v>0</v>
      </c>
      <c r="J14" s="73"/>
      <c r="K14" s="57"/>
      <c r="L14" s="57"/>
      <c r="M14" s="57"/>
      <c r="N14" s="57"/>
      <c r="O14" s="57"/>
      <c r="P14" s="2"/>
    </row>
    <row r="15" spans="1:16" x14ac:dyDescent="0.2">
      <c r="A15" s="27" t="s">
        <v>48</v>
      </c>
      <c r="B15" s="154">
        <f t="shared" si="0"/>
        <v>701713.81375180685</v>
      </c>
      <c r="C15" s="52">
        <f>'[1]Расч дот РФФПП'!V12*1%</f>
        <v>7017.1381375180672</v>
      </c>
      <c r="D15" s="52">
        <f>'[1]Расч дот РФФПП'!V12*22%</f>
        <v>154377.03902539748</v>
      </c>
      <c r="E15" s="52">
        <f>'[1]Расч дот РФФПП'!V12*1%</f>
        <v>7017.1381375180672</v>
      </c>
      <c r="F15" s="52">
        <f>'[1]Расч дот РФФПП'!V12*55%</f>
        <v>385942.59756349376</v>
      </c>
      <c r="G15" s="52">
        <f>'[1]Расч дот РФФПП'!V12*21%</f>
        <v>147359.9008878794</v>
      </c>
      <c r="H15" s="341">
        <f t="shared" si="1"/>
        <v>701713.81375180685</v>
      </c>
      <c r="I15" s="341">
        <f t="shared" si="2"/>
        <v>701713.81375180685</v>
      </c>
      <c r="J15" s="57"/>
      <c r="K15" s="57"/>
      <c r="L15" s="57"/>
      <c r="M15" s="57"/>
      <c r="N15" s="57"/>
      <c r="O15" s="57"/>
      <c r="P15" s="2"/>
    </row>
    <row r="16" spans="1:16" x14ac:dyDescent="0.2">
      <c r="A16" s="27" t="s">
        <v>49</v>
      </c>
      <c r="B16" s="154">
        <f t="shared" si="0"/>
        <v>669192.64918438985</v>
      </c>
      <c r="C16" s="52">
        <f>'[1]Расч дот РФФПП'!V13*1%</f>
        <v>6691.9264918438985</v>
      </c>
      <c r="D16" s="52">
        <f>'[1]Расч дот РФФПП'!V13*22%</f>
        <v>147222.38282056578</v>
      </c>
      <c r="E16" s="52">
        <f>'[1]Расч дот РФФПП'!V13*1%</f>
        <v>6691.9264918438985</v>
      </c>
      <c r="F16" s="52">
        <f>'[1]Расч дот РФФПП'!V13*55%</f>
        <v>368055.95705141447</v>
      </c>
      <c r="G16" s="52">
        <f>'[1]Расч дот РФФПП'!V13*21%</f>
        <v>140530.45632872186</v>
      </c>
      <c r="H16" s="341">
        <f t="shared" si="1"/>
        <v>669192.64918438985</v>
      </c>
      <c r="I16" s="341">
        <f t="shared" si="2"/>
        <v>669192.64918438985</v>
      </c>
      <c r="J16" s="57"/>
      <c r="K16" s="57" t="s">
        <v>289</v>
      </c>
      <c r="L16" s="57" t="s">
        <v>33</v>
      </c>
      <c r="M16" s="57"/>
      <c r="N16" s="57"/>
      <c r="O16" s="57"/>
      <c r="P16" s="2"/>
    </row>
    <row r="17" spans="1:17" x14ac:dyDescent="0.2">
      <c r="A17" s="27" t="s">
        <v>50</v>
      </c>
      <c r="B17" s="154">
        <f t="shared" si="0"/>
        <v>262027.6688003304</v>
      </c>
      <c r="C17" s="52">
        <f>'[1]Расч дот РФФПП'!V14*1%</f>
        <v>2620.2766880033041</v>
      </c>
      <c r="D17" s="52">
        <f>'[1]Расч дот РФФПП'!V14*22%</f>
        <v>57646.087136072689</v>
      </c>
      <c r="E17" s="52">
        <f>'[1]Расч дот РФФПП'!V14*1%</f>
        <v>2620.2766880033041</v>
      </c>
      <c r="F17" s="52">
        <f>'[1]Расч дот РФФПП'!V14*55%</f>
        <v>144115.21784018172</v>
      </c>
      <c r="G17" s="52">
        <f>'[1]Расч дот РФФПП'!V14*21%</f>
        <v>55025.81044806938</v>
      </c>
      <c r="H17" s="341">
        <f t="shared" si="1"/>
        <v>262027.6688003304</v>
      </c>
      <c r="I17" s="341">
        <f t="shared" si="2"/>
        <v>262027.6688003304</v>
      </c>
      <c r="J17" s="57"/>
      <c r="K17" s="57"/>
      <c r="L17" s="57"/>
      <c r="M17" s="57"/>
      <c r="N17" s="57"/>
      <c r="O17" s="57"/>
      <c r="P17" s="2"/>
    </row>
    <row r="18" spans="1:17" x14ac:dyDescent="0.2">
      <c r="A18" s="27" t="s">
        <v>51</v>
      </c>
      <c r="B18" s="154">
        <f t="shared" si="0"/>
        <v>385979.76460871368</v>
      </c>
      <c r="C18" s="52">
        <f>'[1]Расч дот РФФПП'!V15*1%</f>
        <v>3859.7976460871364</v>
      </c>
      <c r="D18" s="52">
        <f>'[1]Расч дот РФФПП'!V15*22%</f>
        <v>84915.548213916991</v>
      </c>
      <c r="E18" s="52">
        <f>'[1]Расч дот РФФПП'!V15*1%</f>
        <v>3859.7976460871364</v>
      </c>
      <c r="F18" s="52">
        <f>'[1]Расч дот РФФПП'!V15*55%</f>
        <v>212288.87053479251</v>
      </c>
      <c r="G18" s="52">
        <f>'[1]Расч дот РФФПП'!V15*21%</f>
        <v>81055.750567829862</v>
      </c>
      <c r="H18" s="341">
        <f t="shared" si="1"/>
        <v>385979.76460871368</v>
      </c>
      <c r="I18" s="341">
        <f t="shared" si="2"/>
        <v>385979.76460871368</v>
      </c>
      <c r="J18" s="57"/>
      <c r="K18" s="57"/>
      <c r="L18" s="57"/>
      <c r="M18" s="57"/>
      <c r="N18" s="57"/>
      <c r="O18" s="57"/>
      <c r="P18" s="2"/>
      <c r="Q18" t="s">
        <v>33</v>
      </c>
    </row>
    <row r="19" spans="1:17" x14ac:dyDescent="0.2">
      <c r="A19" s="27" t="s">
        <v>52</v>
      </c>
      <c r="B19" s="154">
        <f t="shared" si="0"/>
        <v>166880.03303737356</v>
      </c>
      <c r="C19" s="52">
        <f>'[1]Расч дот РФФПП'!V16*1%</f>
        <v>1668.8003303737353</v>
      </c>
      <c r="D19" s="52">
        <f>'[1]Расч дот РФФПП'!V16*22%</f>
        <v>36713.607268222178</v>
      </c>
      <c r="E19" s="52">
        <f>'[1]Расч дот РФФПП'!V16*1%</f>
        <v>1668.8003303737353</v>
      </c>
      <c r="F19" s="52">
        <f>'[1]Расч дот РФФПП'!V16*55%</f>
        <v>91784.018170555457</v>
      </c>
      <c r="G19" s="52">
        <f>'[1]Расч дот РФФПП'!V16*21%</f>
        <v>35044.806937848443</v>
      </c>
      <c r="H19" s="341">
        <f t="shared" si="1"/>
        <v>166880.03303737356</v>
      </c>
      <c r="I19" s="341">
        <f t="shared" si="2"/>
        <v>166880.03303737356</v>
      </c>
      <c r="J19" s="57"/>
      <c r="K19" s="57"/>
      <c r="L19" s="57"/>
      <c r="M19" s="57"/>
      <c r="N19" s="57"/>
      <c r="O19" s="57"/>
      <c r="P19" s="2"/>
    </row>
    <row r="20" spans="1:17" x14ac:dyDescent="0.2">
      <c r="A20" s="27" t="s">
        <v>16</v>
      </c>
      <c r="B20" s="154">
        <f t="shared" si="0"/>
        <v>77121.618831302912</v>
      </c>
      <c r="C20" s="52">
        <f>'[1]Расч дот РФФПП'!V17*1%</f>
        <v>771.21618831302919</v>
      </c>
      <c r="D20" s="52">
        <f>'[1]Расч дот РФФПП'!V17*22%</f>
        <v>16966.756142886639</v>
      </c>
      <c r="E20" s="52">
        <f>'[1]Расч дот РФФПП'!V17*1%</f>
        <v>771.21618831302919</v>
      </c>
      <c r="F20" s="52">
        <f>'[1]Расч дот РФФПП'!V17*55%</f>
        <v>42416.890357216602</v>
      </c>
      <c r="G20" s="52">
        <f>'[1]Расч дот РФФПП'!V17*21%</f>
        <v>16195.539954573611</v>
      </c>
      <c r="H20" s="341">
        <f t="shared" si="1"/>
        <v>77121.618831302912</v>
      </c>
      <c r="I20" s="341">
        <f t="shared" si="2"/>
        <v>77121.618831302912</v>
      </c>
      <c r="J20" s="57"/>
      <c r="K20" s="57"/>
      <c r="L20" s="57"/>
      <c r="M20" s="57"/>
      <c r="N20" s="57"/>
      <c r="O20" s="57"/>
      <c r="P20" s="2"/>
    </row>
    <row r="21" spans="1:17" x14ac:dyDescent="0.2">
      <c r="A21" s="27" t="s">
        <v>191</v>
      </c>
      <c r="B21" s="154">
        <f t="shared" si="0"/>
        <v>385050.58847821609</v>
      </c>
      <c r="C21" s="52">
        <f>'[1]Расч дот РФФПП'!V18*1%</f>
        <v>3850.5058847821601</v>
      </c>
      <c r="D21" s="52">
        <f>'[1]Расч дот РФФПП'!V18*22%</f>
        <v>84711.12946520753</v>
      </c>
      <c r="E21" s="52">
        <f>'[1]Расч дот РФФПП'!V18*1%</f>
        <v>3850.5058847821601</v>
      </c>
      <c r="F21" s="52">
        <f>'[1]Расч дот РФФПП'!V18*55%</f>
        <v>211777.82366301882</v>
      </c>
      <c r="G21" s="52">
        <f>'[1]Расч дот РФФПП'!V18*21%</f>
        <v>80860.623580425367</v>
      </c>
      <c r="H21" s="341">
        <f t="shared" si="1"/>
        <v>385050.58847821609</v>
      </c>
      <c r="I21" s="341">
        <f t="shared" si="2"/>
        <v>385050.58847821609</v>
      </c>
      <c r="J21" s="57"/>
      <c r="K21" s="57"/>
      <c r="L21" s="57"/>
      <c r="M21" s="57"/>
      <c r="N21" s="57"/>
      <c r="O21" s="57"/>
      <c r="P21" s="2"/>
    </row>
    <row r="22" spans="1:17" x14ac:dyDescent="0.2">
      <c r="A22" s="27" t="s">
        <v>192</v>
      </c>
      <c r="B22" s="154">
        <f t="shared" si="0"/>
        <v>789799.71092298173</v>
      </c>
      <c r="C22" s="52">
        <f>'[1]Расч дот РФФПП'!V19*1%</f>
        <v>7897.9971092298174</v>
      </c>
      <c r="D22" s="52">
        <f>'[1]Расч дот РФФПП'!V19*22%</f>
        <v>173755.936403056</v>
      </c>
      <c r="E22" s="52">
        <f>'[1]Расч дот РФФПП'!V19*1%</f>
        <v>7897.9971092298174</v>
      </c>
      <c r="F22" s="52">
        <f>'[1]Расч дот РФФПП'!V19*55%</f>
        <v>434389.84100764</v>
      </c>
      <c r="G22" s="52">
        <f>'[1]Расч дот РФФПП'!V19*21%</f>
        <v>165857.93929382614</v>
      </c>
      <c r="H22" s="341">
        <f t="shared" si="1"/>
        <v>789799.71092298173</v>
      </c>
      <c r="I22" s="341">
        <f t="shared" si="2"/>
        <v>789799.71092298173</v>
      </c>
      <c r="J22" s="73"/>
      <c r="K22" s="57"/>
      <c r="L22" s="57"/>
      <c r="M22" s="57"/>
      <c r="N22" s="57"/>
      <c r="O22" s="57"/>
      <c r="P22" s="2"/>
    </row>
    <row r="23" spans="1:17" x14ac:dyDescent="0.2">
      <c r="A23" s="27" t="s">
        <v>193</v>
      </c>
      <c r="B23" s="154">
        <f t="shared" si="0"/>
        <v>640388.18913896347</v>
      </c>
      <c r="C23" s="52">
        <f>'[1]Расч дот РФФПП'!V20*1%</f>
        <v>6403.8818913896348</v>
      </c>
      <c r="D23" s="52">
        <f>'[1]Расч дот РФФПП'!V20*22%</f>
        <v>140885.40161057198</v>
      </c>
      <c r="E23" s="52">
        <f>'[1]Расч дот РФФПП'!V20*1%</f>
        <v>6403.8818913896348</v>
      </c>
      <c r="F23" s="52">
        <f>'[1]Расч дот РФФПП'!V20*55%</f>
        <v>352213.50402642996</v>
      </c>
      <c r="G23" s="52">
        <f>'[1]Расч дот РФФПП'!V20*21%</f>
        <v>134481.51971918231</v>
      </c>
      <c r="H23" s="341">
        <f t="shared" si="1"/>
        <v>640388.18913896347</v>
      </c>
      <c r="I23" s="341">
        <f t="shared" si="2"/>
        <v>640388.18913896347</v>
      </c>
      <c r="J23" s="57"/>
      <c r="K23" s="57"/>
      <c r="L23" s="57"/>
      <c r="M23" s="57"/>
      <c r="N23" s="57"/>
      <c r="O23" s="57"/>
      <c r="P23" s="2"/>
    </row>
    <row r="24" spans="1:17" x14ac:dyDescent="0.2">
      <c r="A24" s="27" t="s">
        <v>146</v>
      </c>
      <c r="B24" s="154">
        <f t="shared" si="0"/>
        <v>218913.89634524056</v>
      </c>
      <c r="C24" s="52">
        <f>'[1]Расч дот РФФПП'!V21*1%</f>
        <v>2189.1389634524057</v>
      </c>
      <c r="D24" s="52">
        <f>'[1]Расч дот РФФПП'!V21*22%</f>
        <v>48161.057195952926</v>
      </c>
      <c r="E24" s="52">
        <f>'[1]Расч дот РФФПП'!V21*1%</f>
        <v>2189.1389634524057</v>
      </c>
      <c r="F24" s="52">
        <f>'[1]Расч дот РФФПП'!V21*55%</f>
        <v>120402.64298988231</v>
      </c>
      <c r="G24" s="52">
        <f>'[1]Расч дот РФФПП'!V21*21%</f>
        <v>45971.918232500517</v>
      </c>
      <c r="H24" s="341">
        <f t="shared" si="1"/>
        <v>218913.89634524056</v>
      </c>
      <c r="I24" s="341">
        <f t="shared" si="2"/>
        <v>218913.89634524056</v>
      </c>
      <c r="J24" s="57"/>
      <c r="K24" s="57"/>
      <c r="L24" s="57"/>
      <c r="M24" s="57"/>
      <c r="N24" s="57"/>
      <c r="O24" s="57"/>
      <c r="P24" s="2"/>
    </row>
    <row r="25" spans="1:17" x14ac:dyDescent="0.2">
      <c r="A25" s="27" t="s">
        <v>147</v>
      </c>
      <c r="B25" s="154">
        <f t="shared" si="0"/>
        <v>161676.64670658688</v>
      </c>
      <c r="C25" s="52">
        <f>'[1]Расч дот РФФПП'!V22*1%</f>
        <v>1616.7664670658685</v>
      </c>
      <c r="D25" s="52">
        <f>'[1]Расч дот РФФПП'!V22*22%</f>
        <v>35568.862275449108</v>
      </c>
      <c r="E25" s="52">
        <f>'[1]Расч дот РФФПП'!V22*1%</f>
        <v>1616.7664670658685</v>
      </c>
      <c r="F25" s="52">
        <f>'[1]Расч дот РФФПП'!V22*55%</f>
        <v>88922.155688622777</v>
      </c>
      <c r="G25" s="52">
        <f>'[1]Расч дот РФФПП'!V22*21%</f>
        <v>33952.095808383237</v>
      </c>
      <c r="H25" s="341">
        <f t="shared" si="1"/>
        <v>161676.64670658688</v>
      </c>
      <c r="I25" s="341">
        <f t="shared" si="2"/>
        <v>161676.64670658688</v>
      </c>
      <c r="J25" s="57"/>
      <c r="K25" s="57"/>
      <c r="L25" s="57"/>
      <c r="M25" s="57"/>
      <c r="N25" s="57"/>
      <c r="O25" s="57"/>
      <c r="P25" s="2"/>
    </row>
    <row r="26" spans="1:17" x14ac:dyDescent="0.2">
      <c r="A26" s="27" t="s">
        <v>148</v>
      </c>
      <c r="B26" s="154">
        <f t="shared" si="0"/>
        <v>711191.41028288251</v>
      </c>
      <c r="C26" s="52">
        <f>'[1]Расч дот РФФПП'!V23*1%</f>
        <v>7111.914102828825</v>
      </c>
      <c r="D26" s="52">
        <f>'[1]Расч дот РФФПП'!V23*22%</f>
        <v>156462.11026223414</v>
      </c>
      <c r="E26" s="52">
        <f>'[1]Расч дот РФФПП'!V23*1%</f>
        <v>7111.914102828825</v>
      </c>
      <c r="F26" s="52">
        <f>'[1]Расч дот РФФПП'!V23*55%</f>
        <v>391155.2756555854</v>
      </c>
      <c r="G26" s="52">
        <f>'[1]Расч дот РФФПП'!V23*21%</f>
        <v>149350.19615940531</v>
      </c>
      <c r="H26" s="341">
        <f t="shared" si="1"/>
        <v>711191.41028288251</v>
      </c>
      <c r="I26" s="341">
        <f t="shared" si="2"/>
        <v>711191.41028288251</v>
      </c>
      <c r="J26" s="57"/>
      <c r="K26" s="57"/>
      <c r="L26" s="57"/>
      <c r="M26" s="57"/>
      <c r="N26" s="57"/>
      <c r="O26" s="57"/>
      <c r="P26" s="2"/>
    </row>
    <row r="27" spans="1:17" x14ac:dyDescent="0.2">
      <c r="A27" s="27" t="s">
        <v>149</v>
      </c>
      <c r="B27" s="154">
        <f t="shared" si="0"/>
        <v>259983.48131323565</v>
      </c>
      <c r="C27" s="52">
        <f>'[1]Расч дот РФФПП'!V24*1%</f>
        <v>2599.8348131323564</v>
      </c>
      <c r="D27" s="52">
        <f>'[1]Расч дот РФФПП'!V24*22%</f>
        <v>57196.365888911838</v>
      </c>
      <c r="E27" s="52">
        <f>'[1]Расч дот РФФПП'!V24*1%</f>
        <v>2599.8348131323564</v>
      </c>
      <c r="F27" s="52">
        <f>'[1]Расч дот РФФПП'!V24*55%</f>
        <v>142990.91472227962</v>
      </c>
      <c r="G27" s="52">
        <f>'[1]Расч дот РФФПП'!V24*21%</f>
        <v>54596.53107577948</v>
      </c>
      <c r="H27" s="341">
        <f t="shared" si="1"/>
        <v>259983.48131323565</v>
      </c>
      <c r="I27" s="341">
        <f t="shared" si="2"/>
        <v>259983.48131323565</v>
      </c>
      <c r="J27" s="57"/>
      <c r="K27" s="57"/>
      <c r="L27" s="57"/>
      <c r="M27" s="57"/>
      <c r="N27" s="57"/>
      <c r="O27" s="57"/>
      <c r="P27" s="2"/>
    </row>
    <row r="28" spans="1:17" x14ac:dyDescent="0.2">
      <c r="A28" s="27" t="s">
        <v>150</v>
      </c>
      <c r="B28" s="154">
        <f t="shared" si="0"/>
        <v>165021.68077637829</v>
      </c>
      <c r="C28" s="52">
        <f>'[1]Расч дот РФФПП'!V25*1%</f>
        <v>1650.216807763783</v>
      </c>
      <c r="D28" s="52">
        <f>'[1]Расч дот РФФПП'!V25*22%</f>
        <v>36304.769770803221</v>
      </c>
      <c r="E28" s="52">
        <f>'[1]Расч дот РФФПП'!V25*1%</f>
        <v>1650.216807763783</v>
      </c>
      <c r="F28" s="52">
        <f>'[1]Расч дот РФФПП'!V25*55%</f>
        <v>90761.924427008067</v>
      </c>
      <c r="G28" s="52">
        <f>'[1]Расч дот РФФПП'!V25*21%</f>
        <v>34654.552963039438</v>
      </c>
      <c r="H28" s="341">
        <f t="shared" si="1"/>
        <v>165021.68077637829</v>
      </c>
      <c r="I28" s="341">
        <f t="shared" si="2"/>
        <v>165021.68077637829</v>
      </c>
      <c r="J28" s="57"/>
      <c r="K28" s="57"/>
      <c r="L28" s="57"/>
      <c r="M28" s="57"/>
      <c r="N28" s="57"/>
      <c r="O28" s="57"/>
      <c r="P28" s="2"/>
    </row>
    <row r="29" spans="1:17" ht="13.5" thickBot="1" x14ac:dyDescent="0.25">
      <c r="A29" s="28" t="s">
        <v>151</v>
      </c>
      <c r="B29" s="154">
        <f t="shared" si="0"/>
        <v>236382.40759859592</v>
      </c>
      <c r="C29" s="52">
        <f>'[1]Расч дот РФФПП'!V26*1%</f>
        <v>2363.8240759859591</v>
      </c>
      <c r="D29" s="52">
        <f>'[1]Расч дот РФФПП'!V26*22%</f>
        <v>52004.129671691102</v>
      </c>
      <c r="E29" s="52">
        <f>'[1]Расч дот РФФПП'!V26*1%</f>
        <v>2363.8240759859591</v>
      </c>
      <c r="F29" s="52">
        <f>'[1]Расч дот РФФПП'!V26*55%</f>
        <v>130010.32417922777</v>
      </c>
      <c r="G29" s="52">
        <f>'[1]Расч дот РФФПП'!V26*21%</f>
        <v>49640.30559570514</v>
      </c>
      <c r="H29" s="341">
        <f t="shared" si="1"/>
        <v>236382.40759859592</v>
      </c>
      <c r="I29" s="341">
        <f t="shared" si="2"/>
        <v>236382.40759859592</v>
      </c>
      <c r="J29" s="57"/>
      <c r="K29" s="57"/>
      <c r="L29" s="57"/>
      <c r="M29" s="57"/>
      <c r="N29" s="57"/>
      <c r="O29" s="57"/>
      <c r="P29" s="2"/>
    </row>
    <row r="30" spans="1:17" ht="13.5" thickBot="1" x14ac:dyDescent="0.25">
      <c r="A30" s="77" t="s">
        <v>172</v>
      </c>
      <c r="B30" s="55">
        <f t="shared" ref="B30:I30" si="3">SUM(B10:B29)</f>
        <v>8999999.5139376447</v>
      </c>
      <c r="C30" s="55">
        <f t="shared" si="3"/>
        <v>90000.000000000029</v>
      </c>
      <c r="D30" s="55">
        <f>SUM(D10:D29)+1</f>
        <v>1979999.5139376419</v>
      </c>
      <c r="E30" s="55">
        <f t="shared" si="3"/>
        <v>90000.000000000029</v>
      </c>
      <c r="F30" s="55">
        <f t="shared" si="3"/>
        <v>4950000.0000000009</v>
      </c>
      <c r="G30" s="55">
        <f t="shared" si="3"/>
        <v>1890000.0000000002</v>
      </c>
      <c r="H30" s="55">
        <f t="shared" si="3"/>
        <v>8999999.5139376447</v>
      </c>
      <c r="I30" s="32">
        <f t="shared" si="3"/>
        <v>8999999.5139376447</v>
      </c>
      <c r="J30" s="71"/>
      <c r="M30" s="57"/>
      <c r="N30" s="57"/>
    </row>
    <row r="31" spans="1:17" x14ac:dyDescent="0.2">
      <c r="A31" s="21"/>
      <c r="B31" s="24"/>
      <c r="C31" s="24"/>
      <c r="O31" s="252"/>
    </row>
    <row r="32" spans="1:17" x14ac:dyDescent="0.2">
      <c r="A32" s="21"/>
      <c r="B32" s="24"/>
      <c r="C32" s="96">
        <f>'[1]Расч дот РФФПП'!V29*1%</f>
        <v>0</v>
      </c>
      <c r="D32" s="52">
        <f>'[1]Расч дот РФФПП'!V29*22%</f>
        <v>0</v>
      </c>
      <c r="E32" s="52">
        <f>'[1]Расч дот РФФПП'!V29*1%</f>
        <v>0</v>
      </c>
      <c r="F32" s="52">
        <f>'[1]Расч дот РФФПП'!V29*56%</f>
        <v>0</v>
      </c>
      <c r="G32" s="52">
        <f>'[1]Расч дот РФФПП'!V29*20%</f>
        <v>0</v>
      </c>
    </row>
    <row r="33" spans="1:9" x14ac:dyDescent="0.2">
      <c r="A33" s="21"/>
      <c r="B33" s="24"/>
      <c r="C33" s="24"/>
    </row>
    <row r="34" spans="1:9" ht="12.75" hidden="1" customHeight="1" x14ac:dyDescent="0.2">
      <c r="A34" s="21"/>
      <c r="B34" s="24"/>
      <c r="C34" s="24"/>
    </row>
    <row r="35" spans="1:9" x14ac:dyDescent="0.2">
      <c r="A35" s="21"/>
      <c r="B35" s="24"/>
      <c r="C35" s="24"/>
    </row>
    <row r="36" spans="1:9" x14ac:dyDescent="0.2">
      <c r="B36" s="7"/>
      <c r="C36" s="7"/>
    </row>
    <row r="38" spans="1:9" x14ac:dyDescent="0.2">
      <c r="A38" s="378" t="s">
        <v>597</v>
      </c>
      <c r="B38" s="378"/>
      <c r="C38" s="378"/>
      <c r="D38" s="378"/>
      <c r="E38" s="378"/>
      <c r="F38" s="378"/>
      <c r="G38" s="378"/>
      <c r="H38" s="378"/>
      <c r="I38" s="378"/>
    </row>
  </sheetData>
  <mergeCells count="12">
    <mergeCell ref="A38:I38"/>
    <mergeCell ref="B6:I6"/>
    <mergeCell ref="A7:A8"/>
    <mergeCell ref="B7:B8"/>
    <mergeCell ref="C7:G7"/>
    <mergeCell ref="H7:H8"/>
    <mergeCell ref="I7:I8"/>
    <mergeCell ref="B1:I1"/>
    <mergeCell ref="B2:I2"/>
    <mergeCell ref="B3:I3"/>
    <mergeCell ref="A4:I4"/>
    <mergeCell ref="H5:I5"/>
  </mergeCells>
  <phoneticPr fontId="0" type="noConversion"/>
  <pageMargins left="0.77" right="0.74803149606299213" top="0.27559055118110237" bottom="0.15748031496062992" header="0.23622047244094491" footer="0.1574803149606299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F37"/>
  <sheetViews>
    <sheetView zoomScaleNormal="100" workbookViewId="0">
      <pane xSplit="1" ySplit="10" topLeftCell="B11" activePane="bottomRight" state="frozen"/>
      <selection activeCell="L20" sqref="L20"/>
      <selection pane="topRight" activeCell="L20" sqref="L20"/>
      <selection pane="bottomLeft" activeCell="L20" sqref="L20"/>
      <selection pane="bottomRight" activeCell="A35" sqref="A35"/>
    </sheetView>
  </sheetViews>
  <sheetFormatPr defaultRowHeight="12" customHeight="1" x14ac:dyDescent="0.2"/>
  <cols>
    <col min="1" max="1" width="51.85546875" customWidth="1"/>
    <col min="2" max="2" width="9.85546875" customWidth="1"/>
  </cols>
  <sheetData>
    <row r="1" spans="1:6" s="126" customFormat="1" ht="12" customHeight="1" x14ac:dyDescent="0.2">
      <c r="B1" s="405" t="s">
        <v>849</v>
      </c>
      <c r="C1" s="405"/>
      <c r="D1" s="405"/>
    </row>
    <row r="2" spans="1:6" s="126" customFormat="1" ht="12" customHeight="1" x14ac:dyDescent="0.2">
      <c r="A2" s="405" t="s">
        <v>81</v>
      </c>
      <c r="B2" s="405"/>
      <c r="C2" s="405"/>
      <c r="D2" s="405"/>
    </row>
    <row r="3" spans="1:6" s="126" customFormat="1" ht="12" customHeight="1" x14ac:dyDescent="0.2">
      <c r="B3" s="498" t="s">
        <v>878</v>
      </c>
      <c r="C3" s="498"/>
      <c r="D3" s="498"/>
    </row>
    <row r="4" spans="1:6" s="126" customFormat="1" ht="12" customHeight="1" thickBot="1" x14ac:dyDescent="0.25">
      <c r="A4" s="497" t="s">
        <v>852</v>
      </c>
      <c r="B4" s="497"/>
      <c r="C4" s="497"/>
      <c r="D4" s="497"/>
    </row>
    <row r="5" spans="1:6" s="126" customFormat="1" ht="12" customHeight="1" x14ac:dyDescent="0.2">
      <c r="A5" s="499" t="s">
        <v>40</v>
      </c>
      <c r="B5" s="502" t="s">
        <v>156</v>
      </c>
      <c r="C5" s="502"/>
      <c r="D5" s="502"/>
    </row>
    <row r="6" spans="1:6" s="126" customFormat="1" ht="12" customHeight="1" x14ac:dyDescent="0.2">
      <c r="A6" s="500"/>
      <c r="B6" s="502"/>
      <c r="C6" s="502"/>
      <c r="D6" s="502"/>
    </row>
    <row r="7" spans="1:6" s="126" customFormat="1" ht="12" customHeight="1" x14ac:dyDescent="0.2">
      <c r="A7" s="500"/>
      <c r="B7" s="502"/>
      <c r="C7" s="502"/>
      <c r="D7" s="502"/>
      <c r="F7" s="503"/>
    </row>
    <row r="8" spans="1:6" s="126" customFormat="1" ht="15.75" customHeight="1" thickBot="1" x14ac:dyDescent="0.25">
      <c r="A8" s="501"/>
      <c r="B8" s="129" t="s">
        <v>461</v>
      </c>
      <c r="C8" s="129" t="s">
        <v>487</v>
      </c>
      <c r="D8" s="129" t="s">
        <v>772</v>
      </c>
      <c r="F8" s="503"/>
    </row>
    <row r="9" spans="1:6" s="126" customFormat="1" ht="12" customHeight="1" thickBot="1" x14ac:dyDescent="0.25">
      <c r="A9" s="122" t="s">
        <v>60</v>
      </c>
      <c r="B9" s="123" t="s">
        <v>61</v>
      </c>
      <c r="C9" s="124" t="s">
        <v>62</v>
      </c>
      <c r="D9" s="125" t="s">
        <v>63</v>
      </c>
    </row>
    <row r="10" spans="1:6" s="126" customFormat="1" ht="12" customHeight="1" x14ac:dyDescent="0.2">
      <c r="A10" s="130" t="s">
        <v>218</v>
      </c>
      <c r="B10" s="87">
        <v>174000</v>
      </c>
      <c r="C10" s="87">
        <v>191000</v>
      </c>
      <c r="D10" s="87">
        <v>209000</v>
      </c>
    </row>
    <row r="11" spans="1:6" s="126" customFormat="1" ht="12" customHeight="1" x14ac:dyDescent="0.2">
      <c r="A11" s="130" t="s">
        <v>35</v>
      </c>
      <c r="B11" s="87">
        <v>445000</v>
      </c>
      <c r="C11" s="87">
        <v>488000</v>
      </c>
      <c r="D11" s="87">
        <v>531000</v>
      </c>
    </row>
    <row r="12" spans="1:6" s="126" customFormat="1" ht="12" customHeight="1" x14ac:dyDescent="0.2">
      <c r="A12" s="130" t="s">
        <v>36</v>
      </c>
      <c r="B12" s="87">
        <v>366600</v>
      </c>
      <c r="C12" s="87">
        <v>404600</v>
      </c>
      <c r="D12" s="87">
        <v>441400</v>
      </c>
    </row>
    <row r="13" spans="1:6" s="126" customFormat="1" ht="12" customHeight="1" x14ac:dyDescent="0.2">
      <c r="A13" s="130" t="s">
        <v>37</v>
      </c>
      <c r="B13" s="87">
        <v>159000</v>
      </c>
      <c r="C13" s="87">
        <v>176000</v>
      </c>
      <c r="D13" s="87">
        <v>194000</v>
      </c>
    </row>
    <row r="14" spans="1:6" s="126" customFormat="1" ht="12" customHeight="1" x14ac:dyDescent="0.2">
      <c r="A14" s="130" t="s">
        <v>47</v>
      </c>
      <c r="B14" s="87">
        <v>0</v>
      </c>
      <c r="C14" s="87">
        <v>0</v>
      </c>
      <c r="D14" s="87">
        <v>0</v>
      </c>
    </row>
    <row r="15" spans="1:6" s="126" customFormat="1" ht="12" customHeight="1" x14ac:dyDescent="0.2">
      <c r="A15" s="130" t="s">
        <v>48</v>
      </c>
      <c r="B15" s="87">
        <v>413000</v>
      </c>
      <c r="C15" s="87">
        <v>456000</v>
      </c>
      <c r="D15" s="87">
        <v>499000</v>
      </c>
    </row>
    <row r="16" spans="1:6" s="126" customFormat="1" ht="12" customHeight="1" x14ac:dyDescent="0.2">
      <c r="A16" s="130" t="s">
        <v>49</v>
      </c>
      <c r="B16" s="87">
        <v>417000</v>
      </c>
      <c r="C16" s="87">
        <v>460000</v>
      </c>
      <c r="D16" s="87">
        <v>504000</v>
      </c>
    </row>
    <row r="17" spans="1:4" s="126" customFormat="1" ht="12" customHeight="1" x14ac:dyDescent="0.2">
      <c r="A17" s="130" t="s">
        <v>50</v>
      </c>
      <c r="B17" s="87">
        <v>165000</v>
      </c>
      <c r="C17" s="87">
        <v>182000</v>
      </c>
      <c r="D17" s="87">
        <v>200000</v>
      </c>
    </row>
    <row r="18" spans="1:4" s="126" customFormat="1" ht="12" customHeight="1" x14ac:dyDescent="0.2">
      <c r="A18" s="130" t="s">
        <v>51</v>
      </c>
      <c r="B18" s="87">
        <v>149600</v>
      </c>
      <c r="C18" s="87">
        <v>164200</v>
      </c>
      <c r="D18" s="87">
        <v>179800</v>
      </c>
    </row>
    <row r="19" spans="1:4" s="126" customFormat="1" ht="12" customHeight="1" x14ac:dyDescent="0.2">
      <c r="A19" s="130" t="s">
        <v>52</v>
      </c>
      <c r="B19" s="87">
        <v>137600</v>
      </c>
      <c r="C19" s="87">
        <v>152200</v>
      </c>
      <c r="D19" s="87">
        <v>167800</v>
      </c>
    </row>
    <row r="20" spans="1:4" s="126" customFormat="1" ht="12" customHeight="1" x14ac:dyDescent="0.2">
      <c r="A20" s="130" t="s">
        <v>16</v>
      </c>
      <c r="B20" s="87">
        <v>157000</v>
      </c>
      <c r="C20" s="87">
        <v>174000</v>
      </c>
      <c r="D20" s="87">
        <v>192000</v>
      </c>
    </row>
    <row r="21" spans="1:4" s="126" customFormat="1" ht="12" customHeight="1" x14ac:dyDescent="0.2">
      <c r="A21" s="130" t="s">
        <v>191</v>
      </c>
      <c r="B21" s="87">
        <v>149600</v>
      </c>
      <c r="C21" s="87">
        <v>164200</v>
      </c>
      <c r="D21" s="87">
        <v>179800</v>
      </c>
    </row>
    <row r="22" spans="1:4" s="126" customFormat="1" ht="12" customHeight="1" x14ac:dyDescent="0.2">
      <c r="A22" s="130" t="s">
        <v>192</v>
      </c>
      <c r="B22" s="87">
        <v>371600</v>
      </c>
      <c r="C22" s="87">
        <v>409600</v>
      </c>
      <c r="D22" s="87">
        <v>447400</v>
      </c>
    </row>
    <row r="23" spans="1:4" s="126" customFormat="1" ht="12" customHeight="1" x14ac:dyDescent="0.2">
      <c r="A23" s="130" t="s">
        <v>193</v>
      </c>
      <c r="B23" s="87">
        <v>362600</v>
      </c>
      <c r="C23" s="87">
        <v>400600</v>
      </c>
      <c r="D23" s="87">
        <v>438400</v>
      </c>
    </row>
    <row r="24" spans="1:4" s="126" customFormat="1" ht="12" customHeight="1" x14ac:dyDescent="0.2">
      <c r="A24" s="130" t="s">
        <v>146</v>
      </c>
      <c r="B24" s="87">
        <v>162000</v>
      </c>
      <c r="C24" s="87">
        <v>179000</v>
      </c>
      <c r="D24" s="87">
        <v>197000</v>
      </c>
    </row>
    <row r="25" spans="1:4" s="126" customFormat="1" ht="12" customHeight="1" x14ac:dyDescent="0.2">
      <c r="A25" s="130" t="s">
        <v>147</v>
      </c>
      <c r="B25" s="87">
        <v>137600</v>
      </c>
      <c r="C25" s="87">
        <v>152200</v>
      </c>
      <c r="D25" s="87">
        <v>167800</v>
      </c>
    </row>
    <row r="26" spans="1:4" s="126" customFormat="1" ht="12" customHeight="1" x14ac:dyDescent="0.2">
      <c r="A26" s="130" t="s">
        <v>148</v>
      </c>
      <c r="B26" s="87">
        <v>365600</v>
      </c>
      <c r="C26" s="87">
        <v>403600</v>
      </c>
      <c r="D26" s="87">
        <v>441400</v>
      </c>
    </row>
    <row r="27" spans="1:4" s="126" customFormat="1" ht="12" customHeight="1" x14ac:dyDescent="0.2">
      <c r="A27" s="130" t="s">
        <v>149</v>
      </c>
      <c r="B27" s="87">
        <v>167000</v>
      </c>
      <c r="C27" s="87">
        <v>184000</v>
      </c>
      <c r="D27" s="87">
        <v>202000</v>
      </c>
    </row>
    <row r="28" spans="1:4" s="126" customFormat="1" ht="12" customHeight="1" x14ac:dyDescent="0.2">
      <c r="A28" s="130" t="s">
        <v>150</v>
      </c>
      <c r="B28" s="87">
        <v>161000</v>
      </c>
      <c r="C28" s="87">
        <v>178000</v>
      </c>
      <c r="D28" s="87">
        <v>196000</v>
      </c>
    </row>
    <row r="29" spans="1:4" s="126" customFormat="1" ht="12" customHeight="1" thickBot="1" x14ac:dyDescent="0.25">
      <c r="A29" s="131" t="s">
        <v>151</v>
      </c>
      <c r="B29" s="87">
        <v>142600</v>
      </c>
      <c r="C29" s="87">
        <v>157200</v>
      </c>
      <c r="D29" s="87">
        <v>172800</v>
      </c>
    </row>
    <row r="30" spans="1:4" s="126" customFormat="1" ht="12" customHeight="1" thickBot="1" x14ac:dyDescent="0.25">
      <c r="A30" s="132" t="s">
        <v>172</v>
      </c>
      <c r="B30" s="84">
        <f>SUM(B10:B29)</f>
        <v>4603400</v>
      </c>
      <c r="C30" s="84">
        <f>SUM(C10:C29)</f>
        <v>5076400</v>
      </c>
      <c r="D30" s="84">
        <f>SUM(D10:D29)</f>
        <v>5560600</v>
      </c>
    </row>
    <row r="31" spans="1:4" s="126" customFormat="1" ht="12" customHeight="1" x14ac:dyDescent="0.2">
      <c r="B31" s="133"/>
    </row>
    <row r="32" spans="1:4" s="126" customFormat="1" ht="12" customHeight="1" x14ac:dyDescent="0.2">
      <c r="B32" s="133"/>
    </row>
    <row r="33" spans="1:4" s="126" customFormat="1" ht="12" customHeight="1" x14ac:dyDescent="0.2">
      <c r="B33" s="133"/>
    </row>
    <row r="34" spans="1:4" s="126" customFormat="1" ht="12" customHeight="1" x14ac:dyDescent="0.2">
      <c r="A34" s="126" t="s">
        <v>90</v>
      </c>
      <c r="B34" s="133">
        <f>'[1]Доходы прил №1'!E56*1000</f>
        <v>4603400</v>
      </c>
      <c r="C34" s="126">
        <f>'[1]Доходы прил №1'!F56*1000</f>
        <v>5076400</v>
      </c>
      <c r="D34" s="126">
        <f>'[1]Доходы прил №1'!G56*1000</f>
        <v>5560600</v>
      </c>
    </row>
    <row r="35" spans="1:4" s="126" customFormat="1" ht="12" customHeight="1" x14ac:dyDescent="0.2">
      <c r="A35" s="126" t="s">
        <v>143</v>
      </c>
      <c r="B35" s="134">
        <f>B34-B30</f>
        <v>0</v>
      </c>
      <c r="C35" s="243">
        <f>C34-C30</f>
        <v>0</v>
      </c>
      <c r="D35" s="243">
        <f>D34-D30</f>
        <v>0</v>
      </c>
    </row>
    <row r="36" spans="1:4" ht="12" customHeight="1" x14ac:dyDescent="0.2">
      <c r="A36" s="21"/>
      <c r="B36" s="24"/>
    </row>
    <row r="37" spans="1:4" ht="12" customHeight="1" x14ac:dyDescent="0.2">
      <c r="A37" s="21"/>
      <c r="B37" s="24"/>
    </row>
  </sheetData>
  <mergeCells count="7">
    <mergeCell ref="F7:F8"/>
    <mergeCell ref="B1:D1"/>
    <mergeCell ref="A2:D2"/>
    <mergeCell ref="A4:D4"/>
    <mergeCell ref="B3:D3"/>
    <mergeCell ref="A5:A8"/>
    <mergeCell ref="B5:D7"/>
  </mergeCells>
  <phoneticPr fontId="0" type="noConversion"/>
  <pageMargins left="0.78740157480314965" right="0.74803149606299213" top="0.27559055118110237" bottom="0.15748031496062992" header="0.23622047244094491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H36"/>
  <sheetViews>
    <sheetView zoomScaleNormal="100" workbookViewId="0">
      <selection activeCell="H31" sqref="H31"/>
    </sheetView>
  </sheetViews>
  <sheetFormatPr defaultRowHeight="11.25" x14ac:dyDescent="0.2"/>
  <cols>
    <col min="1" max="1" width="37.140625" style="4" customWidth="1"/>
    <col min="2" max="2" width="11" style="4" customWidth="1"/>
    <col min="3" max="3" width="10.42578125" style="4" customWidth="1"/>
    <col min="4" max="4" width="12.5703125" style="4" customWidth="1"/>
    <col min="5" max="16384" width="9.140625" style="4"/>
  </cols>
  <sheetData>
    <row r="1" spans="1:8" s="272" customFormat="1" x14ac:dyDescent="0.2">
      <c r="A1" s="405" t="s">
        <v>851</v>
      </c>
      <c r="B1" s="405"/>
      <c r="C1" s="405"/>
      <c r="D1" s="405"/>
    </row>
    <row r="2" spans="1:8" s="272" customFormat="1" x14ac:dyDescent="0.2">
      <c r="A2" s="405" t="s">
        <v>81</v>
      </c>
      <c r="B2" s="405"/>
      <c r="C2" s="405"/>
      <c r="D2" s="405"/>
    </row>
    <row r="3" spans="1:8" s="272" customFormat="1" x14ac:dyDescent="0.2">
      <c r="B3" s="405" t="s">
        <v>879</v>
      </c>
      <c r="C3" s="405"/>
      <c r="D3" s="405"/>
    </row>
    <row r="4" spans="1:8" s="272" customFormat="1" ht="39.75" customHeight="1" thickBot="1" x14ac:dyDescent="0.25">
      <c r="A4" s="508" t="s">
        <v>853</v>
      </c>
      <c r="B4" s="508"/>
      <c r="C4" s="508"/>
      <c r="D4" s="508"/>
    </row>
    <row r="5" spans="1:8" s="272" customFormat="1" ht="27" customHeight="1" x14ac:dyDescent="0.2">
      <c r="A5" s="505" t="s">
        <v>40</v>
      </c>
      <c r="B5" s="509" t="s">
        <v>200</v>
      </c>
      <c r="C5" s="510"/>
      <c r="D5" s="510"/>
    </row>
    <row r="6" spans="1:8" s="272" customFormat="1" ht="31.5" customHeight="1" x14ac:dyDescent="0.2">
      <c r="A6" s="506"/>
      <c r="B6" s="504" t="s">
        <v>461</v>
      </c>
      <c r="C6" s="504" t="s">
        <v>487</v>
      </c>
      <c r="D6" s="504" t="s">
        <v>772</v>
      </c>
    </row>
    <row r="7" spans="1:8" s="272" customFormat="1" ht="41.25" customHeight="1" thickBot="1" x14ac:dyDescent="0.25">
      <c r="A7" s="507"/>
      <c r="B7" s="504"/>
      <c r="C7" s="504"/>
      <c r="D7" s="504"/>
    </row>
    <row r="8" spans="1:8" s="272" customFormat="1" ht="12.75" customHeight="1" x14ac:dyDescent="0.2">
      <c r="A8" s="273" t="s">
        <v>218</v>
      </c>
      <c r="B8" s="274">
        <f>'[1]Полож дотац'!B2</f>
        <v>5509863.1641292125</v>
      </c>
      <c r="C8" s="274">
        <f>($C$32/$B$28)*B8</f>
        <v>4057463.0621039448</v>
      </c>
      <c r="D8" s="275">
        <f>C8</f>
        <v>4057463.0621039448</v>
      </c>
      <c r="G8" s="276"/>
    </row>
    <row r="9" spans="1:8" s="272" customFormat="1" x14ac:dyDescent="0.2">
      <c r="A9" s="277" t="s">
        <v>35</v>
      </c>
      <c r="B9" s="274">
        <f>'[1]Полож дотац'!B3</f>
        <v>12212949.819543391</v>
      </c>
      <c r="C9" s="274">
        <f t="shared" ref="C9:C27" si="0">($C$32/$B$28)*B9</f>
        <v>8993615.8659500703</v>
      </c>
      <c r="D9" s="275">
        <f t="shared" ref="D9:D27" si="1">C9</f>
        <v>8993615.8659500703</v>
      </c>
      <c r="G9" s="276"/>
    </row>
    <row r="10" spans="1:8" s="272" customFormat="1" x14ac:dyDescent="0.2">
      <c r="A10" s="277" t="s">
        <v>36</v>
      </c>
      <c r="B10" s="274">
        <f>'[1]Полож дотац'!B4</f>
        <v>9498684.8175280951</v>
      </c>
      <c r="C10" s="274">
        <f t="shared" si="0"/>
        <v>6994831.2031772221</v>
      </c>
      <c r="D10" s="275">
        <f t="shared" si="1"/>
        <v>6994831.2031772221</v>
      </c>
      <c r="G10" s="276"/>
    </row>
    <row r="11" spans="1:8" s="272" customFormat="1" x14ac:dyDescent="0.2">
      <c r="A11" s="277" t="s">
        <v>37</v>
      </c>
      <c r="B11" s="274">
        <f>'[1]Полож дотац'!B5</f>
        <v>3313618.1445202222</v>
      </c>
      <c r="C11" s="274">
        <f t="shared" si="0"/>
        <v>2440148.2982078851</v>
      </c>
      <c r="D11" s="275">
        <f t="shared" si="1"/>
        <v>2440148.2982078851</v>
      </c>
      <c r="G11" s="276"/>
    </row>
    <row r="12" spans="1:8" s="272" customFormat="1" x14ac:dyDescent="0.2">
      <c r="A12" s="277" t="s">
        <v>47</v>
      </c>
      <c r="B12" s="274">
        <f>'[1]Полож дотац'!B6</f>
        <v>16980805.346341044</v>
      </c>
      <c r="C12" s="274">
        <f t="shared" si="0"/>
        <v>12504664.527080841</v>
      </c>
      <c r="D12" s="275">
        <f t="shared" si="1"/>
        <v>12504664.527080841</v>
      </c>
      <c r="G12" s="276"/>
    </row>
    <row r="13" spans="1:8" s="272" customFormat="1" x14ac:dyDescent="0.2">
      <c r="A13" s="277" t="s">
        <v>48</v>
      </c>
      <c r="B13" s="274">
        <f>'[1]Полож дотац'!B7</f>
        <v>7218698.7623535795</v>
      </c>
      <c r="C13" s="274">
        <f t="shared" si="0"/>
        <v>5315849.5433042366</v>
      </c>
      <c r="D13" s="275">
        <f t="shared" si="1"/>
        <v>5315849.5433042366</v>
      </c>
      <c r="G13" s="276"/>
    </row>
    <row r="14" spans="1:8" s="272" customFormat="1" x14ac:dyDescent="0.2">
      <c r="A14" s="277" t="s">
        <v>49</v>
      </c>
      <c r="B14" s="274">
        <f>'[1]Полож дотац'!B8</f>
        <v>6889874.7609811127</v>
      </c>
      <c r="C14" s="274">
        <f t="shared" si="0"/>
        <v>5073703.558956028</v>
      </c>
      <c r="D14" s="275">
        <f t="shared" si="1"/>
        <v>5073703.558956028</v>
      </c>
      <c r="G14" s="276"/>
    </row>
    <row r="15" spans="1:8" s="272" customFormat="1" x14ac:dyDescent="0.2">
      <c r="A15" s="277" t="s">
        <v>50</v>
      </c>
      <c r="B15" s="274">
        <f>'[1]Полож дотац'!B9</f>
        <v>3818944.3090438056</v>
      </c>
      <c r="C15" s="274">
        <f t="shared" si="0"/>
        <v>2812270.4699920081</v>
      </c>
      <c r="D15" s="275">
        <f t="shared" si="1"/>
        <v>2812270.4699920081</v>
      </c>
      <c r="G15" s="276"/>
    </row>
    <row r="16" spans="1:8" s="272" customFormat="1" x14ac:dyDescent="0.2">
      <c r="A16" s="277" t="s">
        <v>51</v>
      </c>
      <c r="B16" s="274">
        <f>'[1]Полож дотац'!B10</f>
        <v>4133551.000507406</v>
      </c>
      <c r="C16" s="274">
        <f t="shared" si="0"/>
        <v>3043946.8277670438</v>
      </c>
      <c r="D16" s="275">
        <f t="shared" si="1"/>
        <v>3043946.8277670438</v>
      </c>
      <c r="G16" s="276"/>
      <c r="H16" s="272" t="s">
        <v>33</v>
      </c>
    </row>
    <row r="17" spans="1:7" s="272" customFormat="1" x14ac:dyDescent="0.2">
      <c r="A17" s="277" t="s">
        <v>52</v>
      </c>
      <c r="B17" s="274">
        <f>'[1]Полож дотац'!B11</f>
        <v>3078378.9221990034</v>
      </c>
      <c r="C17" s="274">
        <f t="shared" si="0"/>
        <v>2266918.1422322695</v>
      </c>
      <c r="D17" s="275">
        <f t="shared" si="1"/>
        <v>2266918.1422322695</v>
      </c>
      <c r="G17" s="276"/>
    </row>
    <row r="18" spans="1:7" s="272" customFormat="1" x14ac:dyDescent="0.2">
      <c r="A18" s="277" t="s">
        <v>16</v>
      </c>
      <c r="B18" s="274">
        <f>'[1]Полож дотац'!B12</f>
        <v>2468794.046613846</v>
      </c>
      <c r="C18" s="274">
        <f t="shared" si="0"/>
        <v>1818019.85887628</v>
      </c>
      <c r="D18" s="275">
        <f t="shared" si="1"/>
        <v>1818019.85887628</v>
      </c>
      <c r="G18" s="276"/>
    </row>
    <row r="19" spans="1:7" s="272" customFormat="1" x14ac:dyDescent="0.2">
      <c r="A19" s="277" t="s">
        <v>191</v>
      </c>
      <c r="B19" s="274">
        <f>'[1]Полож дотац'!B13</f>
        <v>4457483.4568111096</v>
      </c>
      <c r="C19" s="274">
        <f t="shared" si="0"/>
        <v>3282490.678479278</v>
      </c>
      <c r="D19" s="275">
        <f t="shared" si="1"/>
        <v>3282490.678479278</v>
      </c>
      <c r="G19" s="276"/>
    </row>
    <row r="20" spans="1:7" s="272" customFormat="1" x14ac:dyDescent="0.2">
      <c r="A20" s="277" t="s">
        <v>192</v>
      </c>
      <c r="B20" s="274">
        <f>'[1]Полож дотац'!B14</f>
        <v>7387792.4177460922</v>
      </c>
      <c r="C20" s="274">
        <f t="shared" si="0"/>
        <v>5440370.105857932</v>
      </c>
      <c r="D20" s="275">
        <f t="shared" si="1"/>
        <v>5440370.105857932</v>
      </c>
      <c r="G20" s="276"/>
    </row>
    <row r="21" spans="1:7" s="272" customFormat="1" x14ac:dyDescent="0.2">
      <c r="A21" s="277" t="s">
        <v>193</v>
      </c>
      <c r="B21" s="274">
        <f>'[1]Полож дотац'!B15</f>
        <v>6389856.8687828546</v>
      </c>
      <c r="C21" s="274">
        <f t="shared" si="0"/>
        <v>4705490.398746606</v>
      </c>
      <c r="D21" s="275">
        <f t="shared" si="1"/>
        <v>4705490.398746606</v>
      </c>
      <c r="G21" s="276"/>
    </row>
    <row r="22" spans="1:7" s="272" customFormat="1" x14ac:dyDescent="0.2">
      <c r="A22" s="277" t="s">
        <v>146</v>
      </c>
      <c r="B22" s="274">
        <f>'[1]Полож дотац'!B16</f>
        <v>3185866.8858819464</v>
      </c>
      <c r="C22" s="274">
        <f t="shared" si="0"/>
        <v>2346072.2753337291</v>
      </c>
      <c r="D22" s="275">
        <f t="shared" si="1"/>
        <v>2346072.2753337291</v>
      </c>
      <c r="G22" s="276"/>
    </row>
    <row r="23" spans="1:7" s="272" customFormat="1" x14ac:dyDescent="0.2">
      <c r="A23" s="277" t="s">
        <v>147</v>
      </c>
      <c r="B23" s="274">
        <f>'[1]Полож дотац'!B17</f>
        <v>2944713.7230241951</v>
      </c>
      <c r="C23" s="274">
        <f t="shared" si="0"/>
        <v>2168487.0937315826</v>
      </c>
      <c r="D23" s="275">
        <f t="shared" si="1"/>
        <v>2168487.0937315826</v>
      </c>
      <c r="G23" s="276"/>
    </row>
    <row r="24" spans="1:7" s="272" customFormat="1" x14ac:dyDescent="0.2">
      <c r="A24" s="277" t="s">
        <v>148</v>
      </c>
      <c r="B24" s="274">
        <f>'[1]Полож дотац'!B18</f>
        <v>6067506.3982936516</v>
      </c>
      <c r="C24" s="274">
        <f t="shared" si="0"/>
        <v>4468111.5223387973</v>
      </c>
      <c r="D24" s="275">
        <f t="shared" si="1"/>
        <v>4468111.5223387973</v>
      </c>
      <c r="G24" s="276"/>
    </row>
    <row r="25" spans="1:7" s="272" customFormat="1" x14ac:dyDescent="0.2">
      <c r="A25" s="277" t="s">
        <v>149</v>
      </c>
      <c r="B25" s="274">
        <f>'[1]Полож дотац'!B19</f>
        <v>3563977.8417385318</v>
      </c>
      <c r="C25" s="274">
        <f>($C$32/$B$28)*B25</f>
        <v>2624513.1714258143</v>
      </c>
      <c r="D25" s="275">
        <f t="shared" si="1"/>
        <v>2624513.1714258143</v>
      </c>
      <c r="G25" s="276"/>
    </row>
    <row r="26" spans="1:7" s="272" customFormat="1" x14ac:dyDescent="0.2">
      <c r="A26" s="277" t="s">
        <v>150</v>
      </c>
      <c r="B26" s="274">
        <f>'[1]Полож дотац'!B20</f>
        <v>3104676.2786522298</v>
      </c>
      <c r="C26" s="274">
        <f t="shared" si="0"/>
        <v>2286283.5147036947</v>
      </c>
      <c r="D26" s="275">
        <f t="shared" si="1"/>
        <v>2286283.5147036947</v>
      </c>
      <c r="F26" s="272" t="s">
        <v>33</v>
      </c>
      <c r="G26" s="276"/>
    </row>
    <row r="27" spans="1:7" s="272" customFormat="1" ht="12" thickBot="1" x14ac:dyDescent="0.25">
      <c r="A27" s="278" t="s">
        <v>151</v>
      </c>
      <c r="B27" s="274">
        <f>'[1]Полож дотац'!B21</f>
        <v>3122963.035308646</v>
      </c>
      <c r="C27" s="274">
        <f t="shared" si="0"/>
        <v>2299749.8817347568</v>
      </c>
      <c r="D27" s="275">
        <f t="shared" si="1"/>
        <v>2299749.8817347568</v>
      </c>
      <c r="G27" s="276"/>
    </row>
    <row r="28" spans="1:7" s="272" customFormat="1" ht="12" thickBot="1" x14ac:dyDescent="0.25">
      <c r="A28" s="279" t="s">
        <v>172</v>
      </c>
      <c r="B28" s="280">
        <f>SUM(B8:B27)</f>
        <v>115348999.99999996</v>
      </c>
      <c r="C28" s="280">
        <f t="shared" ref="C28:D28" si="2">SUM(C8:C27)</f>
        <v>84943000.000000015</v>
      </c>
      <c r="D28" s="275">
        <f t="shared" si="2"/>
        <v>84943000.000000015</v>
      </c>
    </row>
    <row r="29" spans="1:7" s="272" customFormat="1" ht="12.75" customHeight="1" x14ac:dyDescent="0.2">
      <c r="B29" s="281"/>
      <c r="C29" s="281"/>
      <c r="D29" s="281"/>
    </row>
    <row r="30" spans="1:7" s="272" customFormat="1" x14ac:dyDescent="0.2">
      <c r="A30" s="272" t="s">
        <v>103</v>
      </c>
      <c r="B30" s="281"/>
      <c r="C30" s="281"/>
      <c r="D30" s="281"/>
    </row>
    <row r="31" spans="1:7" s="272" customFormat="1" x14ac:dyDescent="0.2">
      <c r="A31" s="272" t="s">
        <v>89</v>
      </c>
      <c r="B31" s="281">
        <f>'[1]Расч дот РФФПП'!D34</f>
        <v>0</v>
      </c>
      <c r="C31" s="281"/>
      <c r="D31" s="281"/>
    </row>
    <row r="32" spans="1:7" s="272" customFormat="1" ht="11.25" hidden="1" customHeight="1" x14ac:dyDescent="0.2">
      <c r="A32" s="272" t="s">
        <v>242</v>
      </c>
      <c r="B32" s="281">
        <f>'[1]Расч дот РФФПП'!D35</f>
        <v>115349000</v>
      </c>
      <c r="C32" s="281">
        <v>84943000</v>
      </c>
      <c r="D32" s="281"/>
    </row>
    <row r="33" spans="1:4" s="272" customFormat="1" ht="11.25" hidden="1" customHeight="1" x14ac:dyDescent="0.2">
      <c r="A33" s="272" t="s">
        <v>854</v>
      </c>
      <c r="B33" s="281">
        <f>'[1]Доходы прил №1'!E55</f>
        <v>115349</v>
      </c>
      <c r="C33" s="281"/>
      <c r="D33" s="281"/>
    </row>
    <row r="34" spans="1:4" s="272" customFormat="1" ht="11.25" hidden="1" customHeight="1" x14ac:dyDescent="0.2"/>
    <row r="35" spans="1:4" ht="11.25" hidden="1" customHeight="1" x14ac:dyDescent="0.2"/>
    <row r="36" spans="1:4" ht="11.25" hidden="1" customHeight="1" x14ac:dyDescent="0.2"/>
  </sheetData>
  <autoFilter ref="A8:GZ8" xr:uid="{00000000-0009-0000-0000-000013000000}"/>
  <mergeCells count="9">
    <mergeCell ref="B6:B7"/>
    <mergeCell ref="C6:C7"/>
    <mergeCell ref="D6:D7"/>
    <mergeCell ref="A5:A7"/>
    <mergeCell ref="A1:D1"/>
    <mergeCell ref="A2:D2"/>
    <mergeCell ref="A4:D4"/>
    <mergeCell ref="B5:D5"/>
    <mergeCell ref="B3:D3"/>
  </mergeCells>
  <phoneticPr fontId="0" type="noConversion"/>
  <printOptions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411"/>
  <sheetViews>
    <sheetView view="pageBreakPreview" topLeftCell="A300" zoomScale="130" zoomScaleNormal="115" zoomScaleSheetLayoutView="130" zoomScalePageLayoutView="55" workbookViewId="0">
      <selection activeCell="G327" sqref="G327"/>
    </sheetView>
  </sheetViews>
  <sheetFormatPr defaultColWidth="8.7109375" defaultRowHeight="12.75" x14ac:dyDescent="0.2"/>
  <cols>
    <col min="1" max="1" width="42.85546875" style="21" customWidth="1"/>
    <col min="2" max="2" width="5.85546875" style="21" customWidth="1"/>
    <col min="3" max="3" width="5" style="21" customWidth="1"/>
    <col min="4" max="4" width="6.42578125" style="21" customWidth="1"/>
    <col min="5" max="5" width="12.85546875" style="21" customWidth="1"/>
    <col min="6" max="6" width="6.140625" style="21" customWidth="1"/>
    <col min="7" max="9" width="12.7109375" style="21" customWidth="1"/>
    <col min="10" max="16384" width="8.7109375" style="21"/>
  </cols>
  <sheetData>
    <row r="1" spans="1:9" ht="51" customHeight="1" x14ac:dyDescent="0.2">
      <c r="A1" s="369" t="s">
        <v>885</v>
      </c>
      <c r="B1" s="369"/>
      <c r="C1" s="369"/>
      <c r="D1" s="369"/>
      <c r="E1" s="369"/>
      <c r="F1" s="369"/>
      <c r="G1" s="369"/>
      <c r="H1" s="369"/>
      <c r="I1" s="369"/>
    </row>
    <row r="2" spans="1:9" ht="18.75" customHeight="1" x14ac:dyDescent="0.2">
      <c r="A2" s="367" t="s">
        <v>106</v>
      </c>
      <c r="B2" s="367"/>
      <c r="C2" s="367"/>
      <c r="D2" s="367"/>
      <c r="E2" s="367"/>
      <c r="F2" s="367"/>
      <c r="G2" s="367"/>
      <c r="H2" s="367"/>
      <c r="I2" s="367"/>
    </row>
    <row r="3" spans="1:9" ht="18.75" customHeight="1" x14ac:dyDescent="0.2">
      <c r="A3" s="367" t="s">
        <v>244</v>
      </c>
      <c r="B3" s="367"/>
      <c r="C3" s="367"/>
      <c r="D3" s="367"/>
      <c r="E3" s="367"/>
      <c r="F3" s="367"/>
      <c r="G3" s="367"/>
      <c r="H3" s="367"/>
      <c r="I3" s="367"/>
    </row>
    <row r="4" spans="1:9" ht="27.4" customHeight="1" x14ac:dyDescent="0.2">
      <c r="A4" s="368" t="s">
        <v>784</v>
      </c>
      <c r="B4" s="368"/>
      <c r="C4" s="368"/>
      <c r="D4" s="368"/>
      <c r="E4" s="368"/>
      <c r="F4" s="368"/>
      <c r="G4" s="368"/>
      <c r="H4" s="368"/>
      <c r="I4" s="368"/>
    </row>
    <row r="5" spans="1:9" s="38" customFormat="1" ht="13.7" customHeight="1" x14ac:dyDescent="0.2">
      <c r="A5" s="21"/>
      <c r="B5" s="41"/>
      <c r="C5" s="39"/>
      <c r="D5" s="41"/>
      <c r="E5" s="41"/>
      <c r="F5" s="41"/>
    </row>
    <row r="6" spans="1:9" ht="41.25" customHeight="1" x14ac:dyDescent="0.2">
      <c r="A6" s="48" t="s">
        <v>25</v>
      </c>
      <c r="B6" s="48" t="s">
        <v>53</v>
      </c>
      <c r="C6" s="48" t="s">
        <v>22</v>
      </c>
      <c r="D6" s="48" t="s">
        <v>23</v>
      </c>
      <c r="E6" s="48" t="s">
        <v>24</v>
      </c>
      <c r="F6" s="48" t="s">
        <v>59</v>
      </c>
      <c r="G6" s="157" t="s">
        <v>461</v>
      </c>
      <c r="H6" s="157" t="s">
        <v>487</v>
      </c>
      <c r="I6" s="157" t="s">
        <v>772</v>
      </c>
    </row>
    <row r="7" spans="1:9" x14ac:dyDescent="0.2">
      <c r="A7" s="61">
        <v>1</v>
      </c>
      <c r="B7" s="61" t="s">
        <v>61</v>
      </c>
      <c r="C7" s="61">
        <v>3</v>
      </c>
      <c r="D7" s="61">
        <v>4</v>
      </c>
      <c r="E7" s="61">
        <v>5</v>
      </c>
      <c r="F7" s="61">
        <v>6</v>
      </c>
      <c r="G7" s="183">
        <v>7</v>
      </c>
      <c r="H7" s="61">
        <v>8</v>
      </c>
      <c r="I7" s="183">
        <v>9</v>
      </c>
    </row>
    <row r="8" spans="1:9" x14ac:dyDescent="0.2">
      <c r="A8" s="184" t="s">
        <v>213</v>
      </c>
      <c r="B8" s="185" t="s">
        <v>197</v>
      </c>
      <c r="C8" s="61"/>
      <c r="D8" s="61"/>
      <c r="E8" s="61"/>
      <c r="F8" s="61"/>
      <c r="G8" s="183" t="s">
        <v>33</v>
      </c>
      <c r="H8" s="52"/>
      <c r="I8" s="52"/>
    </row>
    <row r="9" spans="1:9" x14ac:dyDescent="0.2">
      <c r="A9" s="186" t="s">
        <v>8</v>
      </c>
      <c r="B9" s="187" t="s">
        <v>197</v>
      </c>
      <c r="C9" s="188" t="s">
        <v>66</v>
      </c>
      <c r="D9" s="187" t="s">
        <v>114</v>
      </c>
      <c r="E9" s="187"/>
      <c r="F9" s="189"/>
      <c r="G9" s="32">
        <f>SUM(G10,G14,G17,G27,G29,G33,G35,G39,G41,G43,G45,G49,G52,G55,G57,G61)</f>
        <v>54715960.381080002</v>
      </c>
      <c r="H9" s="32">
        <f>SUM(H10,H14,H17,H21,H27,H29,H33,H35,H39,H41,H43,H45,H49,H52,H55,H57,H61)</f>
        <v>54094558.700580001</v>
      </c>
      <c r="I9" s="32">
        <f>SUM(I10,I14,I17,I21,I27,I29,I33,I35,I39,I41,I43,I45,I49,I52,I55,I57,I61)</f>
        <v>54137788.700580001</v>
      </c>
    </row>
    <row r="10" spans="1:9" x14ac:dyDescent="0.2">
      <c r="A10" s="184" t="s">
        <v>27</v>
      </c>
      <c r="B10" s="187" t="s">
        <v>197</v>
      </c>
      <c r="C10" s="188" t="s">
        <v>66</v>
      </c>
      <c r="D10" s="187" t="s">
        <v>67</v>
      </c>
      <c r="E10" s="187" t="s">
        <v>249</v>
      </c>
      <c r="F10" s="188" t="s">
        <v>219</v>
      </c>
      <c r="G10" s="32">
        <f>SUM(G11:G13)</f>
        <v>1943699.2739199998</v>
      </c>
      <c r="H10" s="32">
        <f>SUM(H11:H13)</f>
        <v>1943699.2739199998</v>
      </c>
      <c r="I10" s="32">
        <f>SUM(I11:I13)</f>
        <v>1943699.2739199998</v>
      </c>
    </row>
    <row r="11" spans="1:9" ht="25.5" x14ac:dyDescent="0.2">
      <c r="A11" s="191" t="s">
        <v>328</v>
      </c>
      <c r="B11" s="81"/>
      <c r="C11" s="192" t="s">
        <v>66</v>
      </c>
      <c r="D11" s="81" t="s">
        <v>67</v>
      </c>
      <c r="E11" s="81" t="s">
        <v>249</v>
      </c>
      <c r="F11" s="190">
        <v>120</v>
      </c>
      <c r="G11" s="37">
        <f>SUM([1]Администрация!BM6:BO6,[1]Администрация!BS6,[1]Администрация!CG6)</f>
        <v>1830610.8648199998</v>
      </c>
      <c r="H11" s="52">
        <f>G11</f>
        <v>1830610.8648199998</v>
      </c>
      <c r="I11" s="52">
        <f>H11</f>
        <v>1830610.8648199998</v>
      </c>
    </row>
    <row r="12" spans="1:9" ht="25.5" x14ac:dyDescent="0.2">
      <c r="A12" s="191" t="s">
        <v>330</v>
      </c>
      <c r="B12" s="81"/>
      <c r="C12" s="192" t="s">
        <v>66</v>
      </c>
      <c r="D12" s="81" t="s">
        <v>67</v>
      </c>
      <c r="E12" s="81" t="s">
        <v>249</v>
      </c>
      <c r="F12" s="190">
        <v>240</v>
      </c>
      <c r="G12" s="37">
        <f>SUM([1]Администрация!BP6:BR6,[1]Администрация!BT6:CD6,[1]Администрация!CF6,[1]Администрация!CH6:CO6,[1]Администрация!CR6:CZ6,[1]Администрация!DR6,[1]Администрация!DU6:EG6)</f>
        <v>98088.40909999999</v>
      </c>
      <c r="H12" s="52">
        <f>G12</f>
        <v>98088.40909999999</v>
      </c>
      <c r="I12" s="52">
        <f>H12</f>
        <v>98088.40909999999</v>
      </c>
    </row>
    <row r="13" spans="1:9" x14ac:dyDescent="0.2">
      <c r="A13" s="191" t="s">
        <v>336</v>
      </c>
      <c r="B13" s="81"/>
      <c r="C13" s="192" t="s">
        <v>66</v>
      </c>
      <c r="D13" s="81" t="s">
        <v>67</v>
      </c>
      <c r="E13" s="81" t="s">
        <v>745</v>
      </c>
      <c r="F13" s="190">
        <v>850</v>
      </c>
      <c r="G13" s="37">
        <f>SUM([1]Администрация!DG6:DO6,[1]Администрация!DQ6)</f>
        <v>15000</v>
      </c>
      <c r="H13" s="37">
        <f>SUM([1]Администрация!DH6:DP6,[1]Администрация!DR6)</f>
        <v>15000</v>
      </c>
      <c r="I13" s="37">
        <f>SUM([1]Администрация!DI6:DQ6,[1]Администрация!DS6)</f>
        <v>15000</v>
      </c>
    </row>
    <row r="14" spans="1:9" x14ac:dyDescent="0.2">
      <c r="A14" s="184" t="s">
        <v>243</v>
      </c>
      <c r="B14" s="187" t="s">
        <v>197</v>
      </c>
      <c r="C14" s="188" t="s">
        <v>66</v>
      </c>
      <c r="D14" s="187" t="s">
        <v>71</v>
      </c>
      <c r="E14" s="187" t="s">
        <v>250</v>
      </c>
      <c r="F14" s="188" t="s">
        <v>219</v>
      </c>
      <c r="G14" s="32">
        <f>SUM(G15:G16)</f>
        <v>2149571.3926399997</v>
      </c>
      <c r="H14" s="32">
        <f>SUM(H15:H16)</f>
        <v>2149571.3926399997</v>
      </c>
      <c r="I14" s="32">
        <f>SUM(I15:I16)</f>
        <v>2149571.3926399997</v>
      </c>
    </row>
    <row r="15" spans="1:9" ht="25.5" x14ac:dyDescent="0.2">
      <c r="A15" s="191" t="s">
        <v>328</v>
      </c>
      <c r="B15" s="81"/>
      <c r="C15" s="192" t="s">
        <v>66</v>
      </c>
      <c r="D15" s="81" t="s">
        <v>71</v>
      </c>
      <c r="E15" s="81" t="s">
        <v>250</v>
      </c>
      <c r="F15" s="190">
        <v>120</v>
      </c>
      <c r="G15" s="37">
        <f>SUM([1]Администрация!BM7:BO7,[1]Администрация!BS7,[1]Администрация!CG7)</f>
        <v>2083797.2204399998</v>
      </c>
      <c r="H15" s="52">
        <f>G15</f>
        <v>2083797.2204399998</v>
      </c>
      <c r="I15" s="52">
        <f>H15</f>
        <v>2083797.2204399998</v>
      </c>
    </row>
    <row r="16" spans="1:9" ht="25.5" x14ac:dyDescent="0.2">
      <c r="A16" s="191" t="s">
        <v>330</v>
      </c>
      <c r="B16" s="81"/>
      <c r="C16" s="192" t="s">
        <v>66</v>
      </c>
      <c r="D16" s="81" t="s">
        <v>71</v>
      </c>
      <c r="E16" s="81" t="s">
        <v>250</v>
      </c>
      <c r="F16" s="190">
        <v>240</v>
      </c>
      <c r="G16" s="37">
        <f>SUM([1]Администрация!BP7:BR7,[1]Администрация!BT7:CD7,[1]Администрация!CF7,[1]Администрация!CH7:CO7,[1]Администрация!CR7:CS7,[1]Администрация!CT7:CY7,[1]Администрация!DR7,[1]Администрация!DU7:EG7)</f>
        <v>65774.172200000001</v>
      </c>
      <c r="H16" s="52">
        <f>G16</f>
        <v>65774.172200000001</v>
      </c>
      <c r="I16" s="52">
        <f>H16</f>
        <v>65774.172200000001</v>
      </c>
    </row>
    <row r="17" spans="1:9" x14ac:dyDescent="0.2">
      <c r="A17" s="184" t="s">
        <v>213</v>
      </c>
      <c r="B17" s="187" t="s">
        <v>197</v>
      </c>
      <c r="C17" s="188" t="s">
        <v>66</v>
      </c>
      <c r="D17" s="187" t="s">
        <v>69</v>
      </c>
      <c r="E17" s="187" t="s">
        <v>251</v>
      </c>
      <c r="F17" s="188" t="s">
        <v>219</v>
      </c>
      <c r="G17" s="32">
        <f>SUM(G18:G20,G21,G23,G25)</f>
        <v>16104650.067600003</v>
      </c>
      <c r="H17" s="32">
        <f>SUM(H18:H20)</f>
        <v>15491238.387100002</v>
      </c>
      <c r="I17" s="32">
        <f>SUM(I18:I20)</f>
        <v>15491238.387100002</v>
      </c>
    </row>
    <row r="18" spans="1:9" ht="25.5" x14ac:dyDescent="0.2">
      <c r="A18" s="191" t="s">
        <v>328</v>
      </c>
      <c r="B18" s="81"/>
      <c r="C18" s="192" t="s">
        <v>66</v>
      </c>
      <c r="D18" s="81" t="s">
        <v>69</v>
      </c>
      <c r="E18" s="81" t="s">
        <v>251</v>
      </c>
      <c r="F18" s="190">
        <v>120</v>
      </c>
      <c r="G18" s="37">
        <f>SUM([1]Администрация!BM9:BO9,[1]Администрация!BS9,[1]Администрация!CG9)</f>
        <v>11234317.601100001</v>
      </c>
      <c r="H18" s="52">
        <f>G18</f>
        <v>11234317.601100001</v>
      </c>
      <c r="I18" s="52">
        <f t="shared" ref="I18:I20" si="0">H18</f>
        <v>11234317.601100001</v>
      </c>
    </row>
    <row r="19" spans="1:9" ht="25.5" x14ac:dyDescent="0.2">
      <c r="A19" s="191" t="s">
        <v>330</v>
      </c>
      <c r="B19" s="81"/>
      <c r="C19" s="192" t="s">
        <v>66</v>
      </c>
      <c r="D19" s="81" t="s">
        <v>69</v>
      </c>
      <c r="E19" s="81" t="s">
        <v>251</v>
      </c>
      <c r="F19" s="190">
        <v>240</v>
      </c>
      <c r="G19" s="37">
        <f>SUM([1]Администрация!BP9:BR9,[1]Администрация!BT9:CD9,[1]Администрация!CF9,[1]Администрация!CH9:CO9,[1]Администрация!CR9:CY9,[1]Администрация!DR9,[1]Администрация!DU9:EG9)</f>
        <v>4362838.6804999998</v>
      </c>
      <c r="H19" s="52">
        <v>3868927</v>
      </c>
      <c r="I19" s="52">
        <f>H19</f>
        <v>3868927</v>
      </c>
    </row>
    <row r="20" spans="1:9" x14ac:dyDescent="0.2">
      <c r="A20" s="191" t="s">
        <v>336</v>
      </c>
      <c r="B20" s="81"/>
      <c r="C20" s="192" t="s">
        <v>66</v>
      </c>
      <c r="D20" s="81" t="s">
        <v>69</v>
      </c>
      <c r="E20" s="81" t="s">
        <v>251</v>
      </c>
      <c r="F20" s="190">
        <v>850</v>
      </c>
      <c r="G20" s="37">
        <f>SUM([1]Администрация!DG9:DO9,[1]Администрация!DQ9)</f>
        <v>387993.78599999996</v>
      </c>
      <c r="H20" s="52">
        <f>G20</f>
        <v>387993.78599999996</v>
      </c>
      <c r="I20" s="52">
        <f t="shared" si="0"/>
        <v>387993.78599999996</v>
      </c>
    </row>
    <row r="21" spans="1:9" ht="38.25" x14ac:dyDescent="0.2">
      <c r="A21" s="170" t="s">
        <v>380</v>
      </c>
      <c r="B21" s="187" t="s">
        <v>197</v>
      </c>
      <c r="C21" s="188" t="s">
        <v>66</v>
      </c>
      <c r="D21" s="187" t="s">
        <v>69</v>
      </c>
      <c r="E21" s="187" t="s">
        <v>633</v>
      </c>
      <c r="F21" s="188" t="s">
        <v>219</v>
      </c>
      <c r="G21" s="32">
        <f>G22</f>
        <v>9500</v>
      </c>
      <c r="H21" s="53">
        <f>H22</f>
        <v>0</v>
      </c>
      <c r="I21" s="53">
        <f>I22</f>
        <v>0</v>
      </c>
    </row>
    <row r="22" spans="1:9" ht="38.25" x14ac:dyDescent="0.2">
      <c r="A22" s="44" t="s">
        <v>380</v>
      </c>
      <c r="B22" s="81"/>
      <c r="C22" s="192" t="s">
        <v>66</v>
      </c>
      <c r="D22" s="81" t="s">
        <v>69</v>
      </c>
      <c r="E22" s="81" t="s">
        <v>633</v>
      </c>
      <c r="F22" s="190">
        <v>240</v>
      </c>
      <c r="G22" s="37">
        <f>SUM([1]Администрация!CE8,[1]Администрация!CQ8,[1]Администрация!CZ8,[1]Администрация!DS8)</f>
        <v>9500</v>
      </c>
      <c r="H22" s="52">
        <v>0</v>
      </c>
      <c r="I22" s="52">
        <f>H22</f>
        <v>0</v>
      </c>
    </row>
    <row r="23" spans="1:9" ht="26.25" customHeight="1" x14ac:dyDescent="0.2">
      <c r="A23" s="170" t="str">
        <f>[1]Администрация!A39</f>
        <v>МП "Комплексная програма профилактики правонарушений на 2024-2026гг"</v>
      </c>
      <c r="B23" s="187" t="s">
        <v>197</v>
      </c>
      <c r="C23" s="188" t="s">
        <v>66</v>
      </c>
      <c r="D23" s="187" t="s">
        <v>69</v>
      </c>
      <c r="E23" s="187" t="s">
        <v>785</v>
      </c>
      <c r="F23" s="188" t="s">
        <v>219</v>
      </c>
      <c r="G23" s="32">
        <f>G24</f>
        <v>30000</v>
      </c>
      <c r="H23" s="53">
        <f>G23</f>
        <v>30000</v>
      </c>
      <c r="I23" s="53">
        <f>H23</f>
        <v>30000</v>
      </c>
    </row>
    <row r="24" spans="1:9" ht="36" customHeight="1" x14ac:dyDescent="0.2">
      <c r="A24" s="44" t="str">
        <f>[1]Администрация!A39</f>
        <v>МП "Комплексная програма профилактики правонарушений на 2024-2026гг"</v>
      </c>
      <c r="B24" s="81"/>
      <c r="C24" s="192" t="s">
        <v>66</v>
      </c>
      <c r="D24" s="81" t="s">
        <v>69</v>
      </c>
      <c r="E24" s="81" t="s">
        <v>785</v>
      </c>
      <c r="F24" s="190">
        <v>240</v>
      </c>
      <c r="G24" s="37">
        <f>[1]Администрация!CQ39</f>
        <v>30000</v>
      </c>
      <c r="H24" s="52">
        <f>G24</f>
        <v>30000</v>
      </c>
      <c r="I24" s="52">
        <f>H24</f>
        <v>30000</v>
      </c>
    </row>
    <row r="25" spans="1:9" ht="39" customHeight="1" x14ac:dyDescent="0.2">
      <c r="A25" s="170" t="str">
        <f>[1]Администрация!A40</f>
        <v>МП "Комплексная меры противодействия злоупотреблению нарктическими средствами и их незакооному обороту "</v>
      </c>
      <c r="B25" s="187" t="s">
        <v>197</v>
      </c>
      <c r="C25" s="188" t="s">
        <v>66</v>
      </c>
      <c r="D25" s="187" t="s">
        <v>69</v>
      </c>
      <c r="E25" s="187" t="s">
        <v>786</v>
      </c>
      <c r="F25" s="188" t="s">
        <v>219</v>
      </c>
      <c r="G25" s="32">
        <f>G26</f>
        <v>80000</v>
      </c>
      <c r="H25" s="53">
        <f>H26</f>
        <v>80000</v>
      </c>
      <c r="I25" s="53">
        <f>I26</f>
        <v>80000</v>
      </c>
    </row>
    <row r="26" spans="1:9" ht="42" customHeight="1" x14ac:dyDescent="0.2">
      <c r="A26" s="44" t="str">
        <f>[1]Администрация!A40</f>
        <v>МП "Комплексная меры противодействия злоупотреблению нарктическими средствами и их незакооному обороту "</v>
      </c>
      <c r="B26" s="81"/>
      <c r="C26" s="192" t="s">
        <v>66</v>
      </c>
      <c r="D26" s="81" t="s">
        <v>69</v>
      </c>
      <c r="E26" s="81" t="s">
        <v>786</v>
      </c>
      <c r="F26" s="190">
        <v>240</v>
      </c>
      <c r="G26" s="37">
        <f>[1]Администрация!CQ40</f>
        <v>80000</v>
      </c>
      <c r="H26" s="52">
        <f>G26</f>
        <v>80000</v>
      </c>
      <c r="I26" s="52">
        <f>H26</f>
        <v>80000</v>
      </c>
    </row>
    <row r="27" spans="1:9" ht="25.5" x14ac:dyDescent="0.2">
      <c r="A27" s="186" t="s">
        <v>19</v>
      </c>
      <c r="B27" s="187" t="s">
        <v>197</v>
      </c>
      <c r="C27" s="188" t="s">
        <v>66</v>
      </c>
      <c r="D27" s="187" t="s">
        <v>74</v>
      </c>
      <c r="E27" s="187" t="s">
        <v>255</v>
      </c>
      <c r="F27" s="188" t="s">
        <v>219</v>
      </c>
      <c r="G27" s="32">
        <f>G28</f>
        <v>3890</v>
      </c>
      <c r="H27" s="32">
        <f>H28</f>
        <v>25400</v>
      </c>
      <c r="I27" s="32">
        <f>I28</f>
        <v>68630</v>
      </c>
    </row>
    <row r="28" spans="1:9" ht="25.5" x14ac:dyDescent="0.2">
      <c r="A28" s="191" t="s">
        <v>330</v>
      </c>
      <c r="B28" s="81"/>
      <c r="C28" s="192" t="s">
        <v>66</v>
      </c>
      <c r="D28" s="81" t="s">
        <v>74</v>
      </c>
      <c r="E28" s="81" t="s">
        <v>255</v>
      </c>
      <c r="F28" s="190">
        <v>240</v>
      </c>
      <c r="G28" s="37">
        <f>SUM([1]Администрация!EC10)</f>
        <v>3890</v>
      </c>
      <c r="H28" s="52">
        <f>'[1]Доходы прил №1'!F60*1000</f>
        <v>25400</v>
      </c>
      <c r="I28" s="52">
        <f>'[1]Доходы прил №1'!G60*1000</f>
        <v>68630</v>
      </c>
    </row>
    <row r="29" spans="1:9" x14ac:dyDescent="0.2">
      <c r="A29" s="184" t="s">
        <v>283</v>
      </c>
      <c r="B29" s="187" t="s">
        <v>206</v>
      </c>
      <c r="C29" s="188" t="s">
        <v>66</v>
      </c>
      <c r="D29" s="187" t="s">
        <v>68</v>
      </c>
      <c r="E29" s="187" t="s">
        <v>251</v>
      </c>
      <c r="F29" s="188" t="s">
        <v>219</v>
      </c>
      <c r="G29" s="32">
        <f>SUM(G30:G32)</f>
        <v>6357308.9708799999</v>
      </c>
      <c r="H29" s="32">
        <f>SUM(H30:H32)</f>
        <v>6357308.9708799999</v>
      </c>
      <c r="I29" s="32">
        <f>SUM(I30:I32)</f>
        <v>6357308.9708799999</v>
      </c>
    </row>
    <row r="30" spans="1:9" ht="25.5" x14ac:dyDescent="0.2">
      <c r="A30" s="191" t="s">
        <v>328</v>
      </c>
      <c r="B30" s="81"/>
      <c r="C30" s="192" t="s">
        <v>66</v>
      </c>
      <c r="D30" s="81" t="s">
        <v>68</v>
      </c>
      <c r="E30" s="81" t="s">
        <v>251</v>
      </c>
      <c r="F30" s="190">
        <v>120</v>
      </c>
      <c r="G30" s="37">
        <f>SUM('[1]МКУ "ФУ"'!BO6:BQ6,'[1]МКУ "ФУ"'!BU6,'[1]МКУ "ФУ"'!CH6)</f>
        <v>5718556.4634800004</v>
      </c>
      <c r="H30" s="52">
        <f t="shared" ref="H30:I32" si="1">G30</f>
        <v>5718556.4634800004</v>
      </c>
      <c r="I30" s="52">
        <f t="shared" si="1"/>
        <v>5718556.4634800004</v>
      </c>
    </row>
    <row r="31" spans="1:9" ht="25.5" x14ac:dyDescent="0.2">
      <c r="A31" s="191" t="s">
        <v>330</v>
      </c>
      <c r="B31" s="81"/>
      <c r="C31" s="192" t="s">
        <v>66</v>
      </c>
      <c r="D31" s="81" t="s">
        <v>68</v>
      </c>
      <c r="E31" s="81" t="s">
        <v>251</v>
      </c>
      <c r="F31" s="190">
        <v>240</v>
      </c>
      <c r="G31" s="37">
        <f>SUM('[1]МКУ "ФУ"'!BR6:BT6,'[1]МКУ "ФУ"'!BV6:CE6,'[1]МКУ "ФУ"'!CG6,'[1]МКУ "ФУ"'!CI6:CP6,'[1]МКУ "ФУ"'!CS6:CZ6,'[1]МКУ "ФУ"'!DS6,'[1]МКУ "ФУ"'!DV6:EG6,)</f>
        <v>638752.5074</v>
      </c>
      <c r="H31" s="52">
        <f t="shared" si="1"/>
        <v>638752.5074</v>
      </c>
      <c r="I31" s="52">
        <f t="shared" si="1"/>
        <v>638752.5074</v>
      </c>
    </row>
    <row r="32" spans="1:9" hidden="1" x14ac:dyDescent="0.2">
      <c r="A32" s="191" t="s">
        <v>336</v>
      </c>
      <c r="B32" s="81"/>
      <c r="C32" s="192" t="s">
        <v>66</v>
      </c>
      <c r="D32" s="81" t="s">
        <v>68</v>
      </c>
      <c r="E32" s="81" t="s">
        <v>251</v>
      </c>
      <c r="F32" s="190">
        <v>850</v>
      </c>
      <c r="G32" s="37">
        <f>SUM('[1]МКУ "ФУ"'!DH6:DP6,'[1]МКУ "ФУ"'!DR6)</f>
        <v>0</v>
      </c>
      <c r="H32" s="52">
        <f t="shared" si="1"/>
        <v>0</v>
      </c>
      <c r="I32" s="52">
        <f t="shared" si="1"/>
        <v>0</v>
      </c>
    </row>
    <row r="33" spans="1:9" ht="38.25" x14ac:dyDescent="0.2">
      <c r="A33" s="170" t="s">
        <v>380</v>
      </c>
      <c r="B33" s="187" t="s">
        <v>197</v>
      </c>
      <c r="C33" s="188" t="s">
        <v>66</v>
      </c>
      <c r="D33" s="187" t="s">
        <v>68</v>
      </c>
      <c r="E33" s="187" t="s">
        <v>633</v>
      </c>
      <c r="F33" s="188" t="s">
        <v>219</v>
      </c>
      <c r="G33" s="32">
        <f>G34</f>
        <v>19500</v>
      </c>
      <c r="H33" s="53">
        <f>H34</f>
        <v>0</v>
      </c>
      <c r="I33" s="53">
        <f>I34</f>
        <v>0</v>
      </c>
    </row>
    <row r="34" spans="1:9" ht="38.25" x14ac:dyDescent="0.2">
      <c r="A34" s="44" t="s">
        <v>380</v>
      </c>
      <c r="B34" s="81"/>
      <c r="C34" s="192" t="s">
        <v>66</v>
      </c>
      <c r="D34" s="81" t="s">
        <v>68</v>
      </c>
      <c r="E34" s="81" t="s">
        <v>633</v>
      </c>
      <c r="F34" s="190">
        <v>240</v>
      </c>
      <c r="G34" s="37">
        <f>SUM('[1]МКУ "ФУ"'!CF6,'[1]МКУ "ФУ"'!CR6,'[1]МКУ "ФУ"'!DA6,'[1]МКУ "ФУ"'!DT6)</f>
        <v>19500</v>
      </c>
      <c r="H34" s="52">
        <v>0</v>
      </c>
      <c r="I34" s="52">
        <v>0</v>
      </c>
    </row>
    <row r="35" spans="1:9" ht="38.25" x14ac:dyDescent="0.2">
      <c r="A35" s="184" t="s">
        <v>720</v>
      </c>
      <c r="B35" s="187" t="s">
        <v>197</v>
      </c>
      <c r="C35" s="188" t="s">
        <v>66</v>
      </c>
      <c r="D35" s="187" t="s">
        <v>68</v>
      </c>
      <c r="E35" s="187" t="s">
        <v>256</v>
      </c>
      <c r="F35" s="188" t="s">
        <v>219</v>
      </c>
      <c r="G35" s="32">
        <f>SUM(G36:G38)</f>
        <v>2176392.9259199998</v>
      </c>
      <c r="H35" s="32">
        <f>SUM(H36:H37)</f>
        <v>2166392.9259199998</v>
      </c>
      <c r="I35" s="32">
        <f>SUM(I36:I37)</f>
        <v>2166392.9259199998</v>
      </c>
    </row>
    <row r="36" spans="1:9" ht="25.5" x14ac:dyDescent="0.2">
      <c r="A36" s="191" t="s">
        <v>328</v>
      </c>
      <c r="B36" s="81"/>
      <c r="C36" s="192" t="s">
        <v>66</v>
      </c>
      <c r="D36" s="81" t="s">
        <v>68</v>
      </c>
      <c r="E36" s="81" t="s">
        <v>256</v>
      </c>
      <c r="F36" s="190">
        <v>120</v>
      </c>
      <c r="G36" s="37">
        <f>SUM([1]Администрация!BM11:BO11,[1]Администрация!BS11,[1]Администрация!CG11)</f>
        <v>1958999.2755699998</v>
      </c>
      <c r="H36" s="52">
        <f t="shared" ref="H36:I38" si="2">G36</f>
        <v>1958999.2755699998</v>
      </c>
      <c r="I36" s="52">
        <f t="shared" si="2"/>
        <v>1958999.2755699998</v>
      </c>
    </row>
    <row r="37" spans="1:9" ht="25.5" x14ac:dyDescent="0.2">
      <c r="A37" s="191" t="s">
        <v>330</v>
      </c>
      <c r="B37" s="81"/>
      <c r="C37" s="192" t="s">
        <v>66</v>
      </c>
      <c r="D37" s="81" t="s">
        <v>68</v>
      </c>
      <c r="E37" s="81" t="s">
        <v>256</v>
      </c>
      <c r="F37" s="190">
        <v>240</v>
      </c>
      <c r="G37" s="37">
        <f>SUM([1]Администрация!BP11:BR11,[1]Администрация!BT11:CD11,[1]Администрация!CF11,[1]Администрация!CH11:CO11,[1]Администрация!CR11:CY11,[1]Администрация!DR11,[1]Администрация!DU11:EG11,)</f>
        <v>207393.65035000001</v>
      </c>
      <c r="H37" s="52">
        <f t="shared" si="2"/>
        <v>207393.65035000001</v>
      </c>
      <c r="I37" s="52">
        <f t="shared" si="2"/>
        <v>207393.65035000001</v>
      </c>
    </row>
    <row r="38" spans="1:9" x14ac:dyDescent="0.2">
      <c r="A38" s="191" t="s">
        <v>336</v>
      </c>
      <c r="B38" s="81"/>
      <c r="C38" s="192" t="s">
        <v>66</v>
      </c>
      <c r="D38" s="81" t="s">
        <v>68</v>
      </c>
      <c r="E38" s="81" t="s">
        <v>256</v>
      </c>
      <c r="F38" s="190">
        <v>850</v>
      </c>
      <c r="G38" s="37">
        <f>SUM([1]Администрация!DG10:DO11,[1]Администрация!DQ11)</f>
        <v>10000</v>
      </c>
      <c r="H38" s="52">
        <f t="shared" si="2"/>
        <v>10000</v>
      </c>
      <c r="I38" s="52">
        <f t="shared" si="2"/>
        <v>10000</v>
      </c>
    </row>
    <row r="39" spans="1:9" ht="25.5" x14ac:dyDescent="0.2">
      <c r="A39" s="184" t="s">
        <v>721</v>
      </c>
      <c r="B39" s="187" t="s">
        <v>197</v>
      </c>
      <c r="C39" s="188" t="s">
        <v>66</v>
      </c>
      <c r="D39" s="187" t="s">
        <v>227</v>
      </c>
      <c r="E39" s="187" t="s">
        <v>257</v>
      </c>
      <c r="F39" s="188" t="s">
        <v>219</v>
      </c>
      <c r="G39" s="32">
        <f>G40</f>
        <v>9120126.2999999989</v>
      </c>
      <c r="H39" s="32">
        <f>H40</f>
        <v>9120126.2999999989</v>
      </c>
      <c r="I39" s="32">
        <f>I40</f>
        <v>9120126.2999999989</v>
      </c>
    </row>
    <row r="40" spans="1:9" x14ac:dyDescent="0.2">
      <c r="A40" s="191" t="s">
        <v>337</v>
      </c>
      <c r="B40" s="81"/>
      <c r="C40" s="192" t="s">
        <v>66</v>
      </c>
      <c r="D40" s="81" t="s">
        <v>227</v>
      </c>
      <c r="E40" s="81" t="s">
        <v>257</v>
      </c>
      <c r="F40" s="190">
        <v>870</v>
      </c>
      <c r="G40" s="37">
        <f>SUM([1]Администрация!EH12)</f>
        <v>9120126.2999999989</v>
      </c>
      <c r="H40" s="52">
        <f>G40</f>
        <v>9120126.2999999989</v>
      </c>
      <c r="I40" s="52">
        <f>H40</f>
        <v>9120126.2999999989</v>
      </c>
    </row>
    <row r="41" spans="1:9" ht="39.75" customHeight="1" x14ac:dyDescent="0.2">
      <c r="A41" s="186" t="s">
        <v>488</v>
      </c>
      <c r="B41" s="187" t="s">
        <v>197</v>
      </c>
      <c r="C41" s="188" t="s">
        <v>66</v>
      </c>
      <c r="D41" s="187" t="s">
        <v>70</v>
      </c>
      <c r="E41" s="187" t="s">
        <v>489</v>
      </c>
      <c r="F41" s="188" t="s">
        <v>219</v>
      </c>
      <c r="G41" s="32">
        <f>G42</f>
        <v>15000</v>
      </c>
      <c r="H41" s="32">
        <f>H42</f>
        <v>15000</v>
      </c>
      <c r="I41" s="32">
        <f>I42</f>
        <v>15000</v>
      </c>
    </row>
    <row r="42" spans="1:9" ht="13.7" customHeight="1" x14ac:dyDescent="0.2">
      <c r="A42" s="191" t="s">
        <v>490</v>
      </c>
      <c r="B42" s="81" t="s">
        <v>197</v>
      </c>
      <c r="C42" s="192" t="s">
        <v>66</v>
      </c>
      <c r="D42" s="81" t="s">
        <v>70</v>
      </c>
      <c r="E42" s="81" t="s">
        <v>489</v>
      </c>
      <c r="F42" s="192" t="s">
        <v>275</v>
      </c>
      <c r="G42" s="37">
        <f>SUM([1]Администрация!BP14:BR14,[1]Администрация!BT14:CD14,[1]Администрация!CF14,[1]Администрация!CH14:CO14,[1]Администрация!CR14:CY14,[1]Администрация!DR14,[1]Администрация!DU14:EG14)</f>
        <v>15000</v>
      </c>
      <c r="H42" s="37">
        <f>G42</f>
        <v>15000</v>
      </c>
      <c r="I42" s="37">
        <f>H42</f>
        <v>15000</v>
      </c>
    </row>
    <row r="43" spans="1:9" ht="27" customHeight="1" x14ac:dyDescent="0.2">
      <c r="A43" s="186" t="s">
        <v>678</v>
      </c>
      <c r="B43" s="187" t="s">
        <v>197</v>
      </c>
      <c r="C43" s="188" t="s">
        <v>66</v>
      </c>
      <c r="D43" s="187" t="s">
        <v>70</v>
      </c>
      <c r="E43" s="187" t="s">
        <v>679</v>
      </c>
      <c r="F43" s="188" t="s">
        <v>219</v>
      </c>
      <c r="G43" s="32">
        <f>G44</f>
        <v>45000</v>
      </c>
      <c r="H43" s="32">
        <f>H44</f>
        <v>45000</v>
      </c>
      <c r="I43" s="32">
        <f>I44</f>
        <v>45000</v>
      </c>
    </row>
    <row r="44" spans="1:9" ht="26.25" customHeight="1" x14ac:dyDescent="0.2">
      <c r="A44" s="191" t="s">
        <v>678</v>
      </c>
      <c r="B44" s="81" t="s">
        <v>197</v>
      </c>
      <c r="C44" s="192" t="s">
        <v>66</v>
      </c>
      <c r="D44" s="81" t="s">
        <v>70</v>
      </c>
      <c r="E44" s="81" t="s">
        <v>679</v>
      </c>
      <c r="F44" s="192" t="s">
        <v>275</v>
      </c>
      <c r="G44" s="37">
        <f>SUM([1]Администрация!CE24,[1]Администрация!CQ24,[1]Администрация!CZ24,[1]Администрация!DS24)</f>
        <v>45000</v>
      </c>
      <c r="H44" s="37">
        <f>G44</f>
        <v>45000</v>
      </c>
      <c r="I44" s="37">
        <f>H44</f>
        <v>45000</v>
      </c>
    </row>
    <row r="45" spans="1:9" ht="13.7" customHeight="1" x14ac:dyDescent="0.2">
      <c r="A45" s="186" t="s">
        <v>358</v>
      </c>
      <c r="B45" s="187" t="s">
        <v>197</v>
      </c>
      <c r="C45" s="188" t="s">
        <v>66</v>
      </c>
      <c r="D45" s="187" t="s">
        <v>70</v>
      </c>
      <c r="E45" s="187" t="s">
        <v>251</v>
      </c>
      <c r="F45" s="188" t="s">
        <v>219</v>
      </c>
      <c r="G45" s="32">
        <f>SUM(G46:G48)</f>
        <v>2159694.6055999999</v>
      </c>
      <c r="H45" s="32">
        <f>SUM(H46:H48)</f>
        <v>2159694.6055999999</v>
      </c>
      <c r="I45" s="32">
        <f>SUM(I46:I48)</f>
        <v>2159694.6055999999</v>
      </c>
    </row>
    <row r="46" spans="1:9" ht="25.5" x14ac:dyDescent="0.2">
      <c r="A46" s="191" t="s">
        <v>359</v>
      </c>
      <c r="B46" s="187"/>
      <c r="C46" s="188" t="s">
        <v>66</v>
      </c>
      <c r="D46" s="187" t="s">
        <v>70</v>
      </c>
      <c r="E46" s="81" t="s">
        <v>251</v>
      </c>
      <c r="F46" s="192" t="s">
        <v>215</v>
      </c>
      <c r="G46" s="37">
        <f>SUM([1]Администрация!BM13:BO13,[1]Администрация!BS13,[1]Администрация!CG13)</f>
        <v>1759564.3113500001</v>
      </c>
      <c r="H46" s="37">
        <f>G46</f>
        <v>1759564.3113500001</v>
      </c>
      <c r="I46" s="52">
        <f>G46</f>
        <v>1759564.3113500001</v>
      </c>
    </row>
    <row r="47" spans="1:9" ht="25.5" x14ac:dyDescent="0.2">
      <c r="A47" s="191" t="s">
        <v>330</v>
      </c>
      <c r="B47" s="81"/>
      <c r="C47" s="192" t="s">
        <v>66</v>
      </c>
      <c r="D47" s="81" t="s">
        <v>70</v>
      </c>
      <c r="E47" s="81" t="s">
        <v>251</v>
      </c>
      <c r="F47" s="190">
        <v>240</v>
      </c>
      <c r="G47" s="37">
        <f>SUM([1]Администрация!BP13:BR13,[1]Администрация!BT13:CF13,[1]Администрация!CI13:CO13,[1]Администрация!CR13:CY13,[1]Администрация!DR13,[1]Администрация!DU13:EG13)</f>
        <v>400130.29424999998</v>
      </c>
      <c r="H47" s="37">
        <f>G47</f>
        <v>400130.29424999998</v>
      </c>
      <c r="I47" s="52">
        <f>G47</f>
        <v>400130.29424999998</v>
      </c>
    </row>
    <row r="48" spans="1:9" hidden="1" x14ac:dyDescent="0.2">
      <c r="A48" s="191" t="s">
        <v>336</v>
      </c>
      <c r="B48" s="81"/>
      <c r="C48" s="192" t="s">
        <v>66</v>
      </c>
      <c r="D48" s="81" t="s">
        <v>70</v>
      </c>
      <c r="E48" s="81" t="s">
        <v>251</v>
      </c>
      <c r="F48" s="190">
        <v>850</v>
      </c>
      <c r="G48" s="37">
        <f>SUM([1]Администрация!DG13:DO13,[1]Администрация!DQ13)</f>
        <v>0</v>
      </c>
      <c r="H48" s="32">
        <f>G48</f>
        <v>0</v>
      </c>
      <c r="I48" s="52">
        <f>G48</f>
        <v>0</v>
      </c>
    </row>
    <row r="49" spans="1:9" ht="38.25" x14ac:dyDescent="0.2">
      <c r="A49" s="186" t="s">
        <v>179</v>
      </c>
      <c r="B49" s="187" t="s">
        <v>197</v>
      </c>
      <c r="C49" s="188" t="s">
        <v>66</v>
      </c>
      <c r="D49" s="187" t="s">
        <v>70</v>
      </c>
      <c r="E49" s="187" t="s">
        <v>252</v>
      </c>
      <c r="F49" s="188" t="s">
        <v>219</v>
      </c>
      <c r="G49" s="32">
        <f>SUM(G50:G51)</f>
        <v>393000.016</v>
      </c>
      <c r="H49" s="32">
        <f t="shared" ref="H49:H54" si="3">G49</f>
        <v>393000.016</v>
      </c>
      <c r="I49" s="32">
        <f>G49</f>
        <v>393000.016</v>
      </c>
    </row>
    <row r="50" spans="1:9" ht="25.5" x14ac:dyDescent="0.2">
      <c r="A50" s="191" t="s">
        <v>328</v>
      </c>
      <c r="B50" s="81"/>
      <c r="C50" s="192" t="s">
        <v>66</v>
      </c>
      <c r="D50" s="81" t="s">
        <v>70</v>
      </c>
      <c r="E50" s="81" t="s">
        <v>252</v>
      </c>
      <c r="F50" s="190">
        <v>120</v>
      </c>
      <c r="G50" s="37">
        <f>SUM([1]Администрация!BM17:BO17,[1]Администрация!BS17,[1]Администрация!CG17)</f>
        <v>354197.21100000001</v>
      </c>
      <c r="H50" s="52">
        <f t="shared" si="3"/>
        <v>354197.21100000001</v>
      </c>
      <c r="I50" s="52">
        <f>H50</f>
        <v>354197.21100000001</v>
      </c>
    </row>
    <row r="51" spans="1:9" ht="25.5" x14ac:dyDescent="0.2">
      <c r="A51" s="191" t="s">
        <v>330</v>
      </c>
      <c r="B51" s="81"/>
      <c r="C51" s="192" t="s">
        <v>66</v>
      </c>
      <c r="D51" s="81" t="s">
        <v>70</v>
      </c>
      <c r="E51" s="81" t="s">
        <v>252</v>
      </c>
      <c r="F51" s="190">
        <v>240</v>
      </c>
      <c r="G51" s="37">
        <f>SUM([1]Администрация!BP17:BR17,[1]Администрация!BT17:CD17,[1]Администрация!CF17,[1]Администрация!CH17:CO17,[1]Администрация!CR17:CY17,[1]Администрация!DR17,[1]Администрация!DU17:EG17)</f>
        <v>38802.805</v>
      </c>
      <c r="H51" s="52">
        <f t="shared" si="3"/>
        <v>38802.805</v>
      </c>
      <c r="I51" s="52">
        <f>H51</f>
        <v>38802.805</v>
      </c>
    </row>
    <row r="52" spans="1:9" ht="38.25" x14ac:dyDescent="0.2">
      <c r="A52" s="186" t="s">
        <v>303</v>
      </c>
      <c r="B52" s="187" t="s">
        <v>197</v>
      </c>
      <c r="C52" s="188" t="s">
        <v>66</v>
      </c>
      <c r="D52" s="187" t="s">
        <v>70</v>
      </c>
      <c r="E52" s="187" t="s">
        <v>253</v>
      </c>
      <c r="F52" s="188" t="s">
        <v>219</v>
      </c>
      <c r="G52" s="32">
        <f>SUM(G53:G54)</f>
        <v>787000.20512000006</v>
      </c>
      <c r="H52" s="32">
        <f t="shared" si="3"/>
        <v>787000.20512000006</v>
      </c>
      <c r="I52" s="32">
        <f>G52</f>
        <v>787000.20512000006</v>
      </c>
    </row>
    <row r="53" spans="1:9" ht="25.5" x14ac:dyDescent="0.2">
      <c r="A53" s="191" t="s">
        <v>328</v>
      </c>
      <c r="B53" s="81"/>
      <c r="C53" s="192" t="s">
        <v>66</v>
      </c>
      <c r="D53" s="81" t="s">
        <v>70</v>
      </c>
      <c r="E53" s="81" t="s">
        <v>253</v>
      </c>
      <c r="F53" s="190">
        <v>120</v>
      </c>
      <c r="G53" s="37">
        <f>SUM([1]Администрация!BM18:BO18,[1]Администрация!BS18,[1]Администрация!CG18)</f>
        <v>694781.54502000008</v>
      </c>
      <c r="H53" s="52">
        <f t="shared" si="3"/>
        <v>694781.54502000008</v>
      </c>
      <c r="I53" s="52">
        <f>H53</f>
        <v>694781.54502000008</v>
      </c>
    </row>
    <row r="54" spans="1:9" ht="25.5" x14ac:dyDescent="0.2">
      <c r="A54" s="191" t="s">
        <v>330</v>
      </c>
      <c r="B54" s="81"/>
      <c r="C54" s="192" t="s">
        <v>66</v>
      </c>
      <c r="D54" s="81" t="s">
        <v>70</v>
      </c>
      <c r="E54" s="81" t="s">
        <v>253</v>
      </c>
      <c r="F54" s="190">
        <v>240</v>
      </c>
      <c r="G54" s="37">
        <f>SUM([1]Администрация!BP18:BR18,[1]Администрация!BT18:CD18,[1]Администрация!CF18,[1]Администрация!CH18:CO18,[1]Администрация!CR18:CY18,[1]Администрация!DR18,[1]Администрация!DU18:EG18,)</f>
        <v>92218.660100000008</v>
      </c>
      <c r="H54" s="52">
        <f t="shared" si="3"/>
        <v>92218.660100000008</v>
      </c>
      <c r="I54" s="52">
        <f>H54</f>
        <v>92218.660100000008</v>
      </c>
    </row>
    <row r="55" spans="1:9" ht="38.25" x14ac:dyDescent="0.2">
      <c r="A55" s="186" t="s">
        <v>304</v>
      </c>
      <c r="B55" s="187" t="s">
        <v>197</v>
      </c>
      <c r="C55" s="188" t="s">
        <v>66</v>
      </c>
      <c r="D55" s="187" t="s">
        <v>70</v>
      </c>
      <c r="E55" s="187" t="s">
        <v>254</v>
      </c>
      <c r="F55" s="188" t="s">
        <v>219</v>
      </c>
      <c r="G55" s="32">
        <f>SUM(G56:G56)</f>
        <v>66100</v>
      </c>
      <c r="H55" s="32">
        <f>SUM(H56:H56)</f>
        <v>66100</v>
      </c>
      <c r="I55" s="32">
        <f>SUM(I56:I56)</f>
        <v>66100</v>
      </c>
    </row>
    <row r="56" spans="1:9" ht="25.5" x14ac:dyDescent="0.2">
      <c r="A56" s="191" t="s">
        <v>330</v>
      </c>
      <c r="B56" s="81"/>
      <c r="C56" s="192" t="s">
        <v>66</v>
      </c>
      <c r="D56" s="81" t="s">
        <v>70</v>
      </c>
      <c r="E56" s="81" t="s">
        <v>254</v>
      </c>
      <c r="F56" s="190">
        <v>240</v>
      </c>
      <c r="G56" s="37">
        <f>SUM([1]Администрация!BP19:BR19,[1]Администрация!BT19:CD19,[1]Администрация!CF19,[1]Администрация!CH19:CO19,[1]Администрация!CR19:CY19,[1]Администрация!DR19,[1]Администрация!DU19:EG19)</f>
        <v>66100</v>
      </c>
      <c r="H56" s="37">
        <f>'[1]Доходы прил №1'!F52*1000</f>
        <v>66100</v>
      </c>
      <c r="I56" s="37">
        <f>'[1]Доходы прил №1'!G52*1000</f>
        <v>66100</v>
      </c>
    </row>
    <row r="57" spans="1:9" x14ac:dyDescent="0.2">
      <c r="A57" s="186" t="s">
        <v>296</v>
      </c>
      <c r="B57" s="187" t="s">
        <v>197</v>
      </c>
      <c r="C57" s="188" t="s">
        <v>66</v>
      </c>
      <c r="D57" s="187" t="s">
        <v>70</v>
      </c>
      <c r="E57" s="187" t="s">
        <v>400</v>
      </c>
      <c r="F57" s="188" t="s">
        <v>219</v>
      </c>
      <c r="G57" s="32">
        <f>SUM(G58:G60)</f>
        <v>9981501.0233999994</v>
      </c>
      <c r="H57" s="32">
        <f>SUM(H58:H60)</f>
        <v>9981501.0233999994</v>
      </c>
      <c r="I57" s="32">
        <f>SUM(I58:I60)</f>
        <v>9981501.0233999994</v>
      </c>
    </row>
    <row r="58" spans="1:9" ht="25.5" x14ac:dyDescent="0.2">
      <c r="A58" s="191" t="s">
        <v>328</v>
      </c>
      <c r="B58" s="187"/>
      <c r="C58" s="192" t="s">
        <v>66</v>
      </c>
      <c r="D58" s="81" t="s">
        <v>70</v>
      </c>
      <c r="E58" s="81" t="s">
        <v>400</v>
      </c>
      <c r="F58" s="192" t="s">
        <v>157</v>
      </c>
      <c r="G58" s="37">
        <f>SUM('[1]МКУ "Хозслужба"'!BS6:BU6,'[1]МКУ "Хозслужба"'!BY6,'[1]МКУ "Хозслужба"'!CL6)</f>
        <v>8299829.7073999997</v>
      </c>
      <c r="H58" s="37">
        <f>G58</f>
        <v>8299829.7073999997</v>
      </c>
      <c r="I58" s="37">
        <f>G58</f>
        <v>8299829.7073999997</v>
      </c>
    </row>
    <row r="59" spans="1:9" ht="25.5" x14ac:dyDescent="0.2">
      <c r="A59" s="191" t="s">
        <v>330</v>
      </c>
      <c r="B59" s="81"/>
      <c r="C59" s="192" t="s">
        <v>66</v>
      </c>
      <c r="D59" s="81" t="s">
        <v>70</v>
      </c>
      <c r="E59" s="81" t="s">
        <v>400</v>
      </c>
      <c r="F59" s="190">
        <v>240</v>
      </c>
      <c r="G59" s="37">
        <f>SUM('[1]МКУ "Хозслужба"'!BV6:BX6,'[1]МКУ "Хозслужба"'!BZ6:CI6,'[1]МКУ "Хозслужба"'!CK6,'[1]МКУ "Хозслужба"'!CM6:CT6,'[1]МКУ "Хозслужба"'!CW6:DD6,'[1]МКУ "Хозслужба"'!DV6,'[1]МКУ "Хозслужба"'!DY6:EJ6)</f>
        <v>1340194.1200000001</v>
      </c>
      <c r="H59" s="37">
        <f>G59</f>
        <v>1340194.1200000001</v>
      </c>
      <c r="I59" s="37">
        <f>G59</f>
        <v>1340194.1200000001</v>
      </c>
    </row>
    <row r="60" spans="1:9" x14ac:dyDescent="0.2">
      <c r="A60" s="191" t="s">
        <v>336</v>
      </c>
      <c r="B60" s="81"/>
      <c r="C60" s="192" t="s">
        <v>66</v>
      </c>
      <c r="D60" s="81" t="s">
        <v>70</v>
      </c>
      <c r="E60" s="81" t="s">
        <v>400</v>
      </c>
      <c r="F60" s="190">
        <v>850</v>
      </c>
      <c r="G60" s="37">
        <f>SUM('[1]МКУ "Хозслужба"'!DK6:DS6,'[1]МКУ "Хозслужба"'!DU6)</f>
        <v>341477.196</v>
      </c>
      <c r="H60" s="37">
        <f>G60</f>
        <v>341477.196</v>
      </c>
      <c r="I60" s="37">
        <f>G60</f>
        <v>341477.196</v>
      </c>
    </row>
    <row r="61" spans="1:9" ht="38.25" x14ac:dyDescent="0.2">
      <c r="A61" s="184" t="s">
        <v>491</v>
      </c>
      <c r="B61" s="187" t="s">
        <v>206</v>
      </c>
      <c r="C61" s="188" t="s">
        <v>66</v>
      </c>
      <c r="D61" s="187" t="s">
        <v>70</v>
      </c>
      <c r="E61" s="187" t="s">
        <v>321</v>
      </c>
      <c r="F61" s="188" t="s">
        <v>219</v>
      </c>
      <c r="G61" s="32">
        <f>SUM(G62:G63)</f>
        <v>3393525.6</v>
      </c>
      <c r="H61" s="32">
        <f>SUM(H62:H63)</f>
        <v>3393525.6</v>
      </c>
      <c r="I61" s="32">
        <f>SUM(I62:I63)</f>
        <v>3393525.6</v>
      </c>
    </row>
    <row r="62" spans="1:9" ht="25.5" x14ac:dyDescent="0.2">
      <c r="A62" s="193" t="s">
        <v>333</v>
      </c>
      <c r="B62" s="81"/>
      <c r="C62" s="192" t="s">
        <v>66</v>
      </c>
      <c r="D62" s="81" t="s">
        <v>70</v>
      </c>
      <c r="E62" s="81" t="s">
        <v>321</v>
      </c>
      <c r="F62" s="190">
        <v>611</v>
      </c>
      <c r="G62" s="37">
        <f>SUM('[1]МБУ ЦБ'!DJ6)</f>
        <v>3393525.6</v>
      </c>
      <c r="H62" s="37">
        <f>G62</f>
        <v>3393525.6</v>
      </c>
      <c r="I62" s="37">
        <f>H62</f>
        <v>3393525.6</v>
      </c>
    </row>
    <row r="63" spans="1:9" x14ac:dyDescent="0.2">
      <c r="A63" s="191" t="s">
        <v>298</v>
      </c>
      <c r="B63" s="81"/>
      <c r="C63" s="192" t="s">
        <v>66</v>
      </c>
      <c r="D63" s="81" t="s">
        <v>70</v>
      </c>
      <c r="E63" s="81" t="s">
        <v>321</v>
      </c>
      <c r="F63" s="190">
        <v>612</v>
      </c>
      <c r="G63" s="37">
        <f>SUM('[1]МБУ ЦБ'!DK6)</f>
        <v>0</v>
      </c>
      <c r="H63" s="37">
        <f>G63</f>
        <v>0</v>
      </c>
      <c r="I63" s="37">
        <f>H63</f>
        <v>0</v>
      </c>
    </row>
    <row r="64" spans="1:9" x14ac:dyDescent="0.2">
      <c r="A64" s="184" t="s">
        <v>283</v>
      </c>
      <c r="B64" s="187" t="s">
        <v>206</v>
      </c>
      <c r="C64" s="188" t="s">
        <v>67</v>
      </c>
      <c r="D64" s="187" t="s">
        <v>114</v>
      </c>
      <c r="E64" s="187" t="s">
        <v>272</v>
      </c>
      <c r="F64" s="188" t="s">
        <v>219</v>
      </c>
      <c r="G64" s="32">
        <f>G65</f>
        <v>4603400</v>
      </c>
      <c r="H64" s="32">
        <f>H65</f>
        <v>5076400</v>
      </c>
      <c r="I64" s="32">
        <f>I65</f>
        <v>5560600</v>
      </c>
    </row>
    <row r="65" spans="1:9" ht="25.5" x14ac:dyDescent="0.2">
      <c r="A65" s="191" t="s">
        <v>492</v>
      </c>
      <c r="B65" s="81"/>
      <c r="C65" s="192" t="s">
        <v>67</v>
      </c>
      <c r="D65" s="81" t="s">
        <v>71</v>
      </c>
      <c r="E65" s="81" t="s">
        <v>272</v>
      </c>
      <c r="F65" s="192" t="s">
        <v>109</v>
      </c>
      <c r="G65" s="37">
        <f>SUM('[1]МКУ "ФУ"'!DE8)</f>
        <v>4603400</v>
      </c>
      <c r="H65" s="37">
        <f>'[1] ВУС прил №18'!C30</f>
        <v>5076400</v>
      </c>
      <c r="I65" s="37">
        <f>'[1] ВУС прил №18'!D30</f>
        <v>5560600</v>
      </c>
    </row>
    <row r="66" spans="1:9" ht="38.25" x14ac:dyDescent="0.2">
      <c r="A66" s="184" t="s">
        <v>722</v>
      </c>
      <c r="B66" s="187"/>
      <c r="C66" s="188" t="s">
        <v>71</v>
      </c>
      <c r="D66" s="187" t="s">
        <v>114</v>
      </c>
      <c r="E66" s="187"/>
      <c r="F66" s="189"/>
      <c r="G66" s="32">
        <f>SUM(G67,G69,G71,G73,G76)</f>
        <v>7253154.2034499999</v>
      </c>
      <c r="H66" s="32">
        <f t="shared" ref="H66:I66" si="4">SUM(H67,H69,H71,H73,H76,H81)</f>
        <v>5273154.2034499999</v>
      </c>
      <c r="I66" s="32">
        <f t="shared" si="4"/>
        <v>5273154.2034499999</v>
      </c>
    </row>
    <row r="67" spans="1:9" x14ac:dyDescent="0.2">
      <c r="A67" s="186" t="s">
        <v>493</v>
      </c>
      <c r="B67" s="187" t="s">
        <v>197</v>
      </c>
      <c r="C67" s="188" t="s">
        <v>71</v>
      </c>
      <c r="D67" s="187" t="s">
        <v>72</v>
      </c>
      <c r="E67" s="187" t="s">
        <v>383</v>
      </c>
      <c r="F67" s="188" t="s">
        <v>219</v>
      </c>
      <c r="G67" s="32">
        <f>G68</f>
        <v>250000</v>
      </c>
      <c r="H67" s="32">
        <f>H68</f>
        <v>0</v>
      </c>
      <c r="I67" s="32">
        <f>I68</f>
        <v>0</v>
      </c>
    </row>
    <row r="68" spans="1:9" ht="25.5" x14ac:dyDescent="0.2">
      <c r="A68" s="191" t="s">
        <v>495</v>
      </c>
      <c r="B68" s="81" t="s">
        <v>197</v>
      </c>
      <c r="C68" s="192" t="s">
        <v>71</v>
      </c>
      <c r="D68" s="81" t="s">
        <v>72</v>
      </c>
      <c r="E68" s="81" t="s">
        <v>383</v>
      </c>
      <c r="F68" s="190">
        <v>240</v>
      </c>
      <c r="G68" s="37">
        <f>SUM([1]Администрация!CE15,[1]Администрация!CQ15,[1]Администрация!CZ15,[1]Администрация!DS15)</f>
        <v>250000</v>
      </c>
      <c r="H68" s="37">
        <v>0</v>
      </c>
      <c r="I68" s="37">
        <v>0</v>
      </c>
    </row>
    <row r="69" spans="1:9" ht="38.25" x14ac:dyDescent="0.2">
      <c r="A69" s="170" t="s">
        <v>380</v>
      </c>
      <c r="B69" s="194" t="s">
        <v>197</v>
      </c>
      <c r="C69" s="188" t="s">
        <v>71</v>
      </c>
      <c r="D69" s="187" t="s">
        <v>127</v>
      </c>
      <c r="E69" s="187" t="s">
        <v>382</v>
      </c>
      <c r="F69" s="188" t="s">
        <v>219</v>
      </c>
      <c r="G69" s="32">
        <f>SUM(G70)</f>
        <v>1500000</v>
      </c>
      <c r="H69" s="32">
        <f>SUM(H70)</f>
        <v>0</v>
      </c>
      <c r="I69" s="32">
        <f>SUM(I70)</f>
        <v>0</v>
      </c>
    </row>
    <row r="70" spans="1:9" ht="25.5" x14ac:dyDescent="0.2">
      <c r="A70" s="44" t="s">
        <v>381</v>
      </c>
      <c r="B70" s="291"/>
      <c r="C70" s="192" t="s">
        <v>71</v>
      </c>
      <c r="D70" s="81" t="s">
        <v>127</v>
      </c>
      <c r="E70" s="81" t="s">
        <v>382</v>
      </c>
      <c r="F70" s="192" t="s">
        <v>275</v>
      </c>
      <c r="G70" s="37">
        <f>SUM([1]Администрация!CE25,[1]Администрация!CQ25,[1]Администрация!CZ25,[1]Администрация!DS25)</f>
        <v>1500000</v>
      </c>
      <c r="H70" s="37">
        <v>0</v>
      </c>
      <c r="I70" s="37">
        <v>0</v>
      </c>
    </row>
    <row r="71" spans="1:9" ht="38.25" x14ac:dyDescent="0.2">
      <c r="A71" s="170" t="s">
        <v>380</v>
      </c>
      <c r="B71" s="194"/>
      <c r="C71" s="188" t="s">
        <v>71</v>
      </c>
      <c r="D71" s="187" t="s">
        <v>127</v>
      </c>
      <c r="E71" s="187" t="s">
        <v>633</v>
      </c>
      <c r="F71" s="188" t="s">
        <v>219</v>
      </c>
      <c r="G71" s="32">
        <f>G72</f>
        <v>230000</v>
      </c>
      <c r="H71" s="32">
        <f>H72</f>
        <v>0</v>
      </c>
      <c r="I71" s="32">
        <f>I72</f>
        <v>0</v>
      </c>
    </row>
    <row r="72" spans="1:9" ht="38.25" x14ac:dyDescent="0.2">
      <c r="A72" s="44" t="s">
        <v>380</v>
      </c>
      <c r="B72" s="291"/>
      <c r="C72" s="192" t="s">
        <v>71</v>
      </c>
      <c r="D72" s="81" t="s">
        <v>127</v>
      </c>
      <c r="E72" s="81" t="s">
        <v>633</v>
      </c>
      <c r="F72" s="190">
        <v>240</v>
      </c>
      <c r="G72" s="37">
        <f>SUM([1]Администрация!CE27,[1]Администрация!CQ27,[1]Администрация!CZ27,[1]Администрация!DS27,[1]Администрация!CE31,[1]Администрация!CQ31,[1]Администрация!CZ31,[1]Администрация!DS31)</f>
        <v>230000</v>
      </c>
      <c r="H72" s="37">
        <v>0</v>
      </c>
      <c r="I72" s="37">
        <v>0</v>
      </c>
    </row>
    <row r="73" spans="1:9" x14ac:dyDescent="0.2">
      <c r="A73" s="34" t="s">
        <v>494</v>
      </c>
      <c r="B73" s="194" t="s">
        <v>197</v>
      </c>
      <c r="C73" s="188" t="s">
        <v>71</v>
      </c>
      <c r="D73" s="187" t="s">
        <v>127</v>
      </c>
      <c r="E73" s="187" t="s">
        <v>251</v>
      </c>
      <c r="F73" s="188" t="s">
        <v>219</v>
      </c>
      <c r="G73" s="32">
        <f>SUM(G74:G75)</f>
        <v>1832404.6702400001</v>
      </c>
      <c r="H73" s="32">
        <f>SUM(H74:H75)</f>
        <v>1832404.6702400001</v>
      </c>
      <c r="I73" s="32">
        <f>SUM(I74:I75)</f>
        <v>1832404.6702400001</v>
      </c>
    </row>
    <row r="74" spans="1:9" ht="25.5" x14ac:dyDescent="0.2">
      <c r="A74" s="191" t="s">
        <v>328</v>
      </c>
      <c r="B74" s="81"/>
      <c r="C74" s="192" t="s">
        <v>71</v>
      </c>
      <c r="D74" s="81" t="s">
        <v>127</v>
      </c>
      <c r="E74" s="81" t="s">
        <v>251</v>
      </c>
      <c r="F74" s="190">
        <v>120</v>
      </c>
      <c r="G74" s="37">
        <f>SUM([1]Администрация!BM16:BO16,[1]Администрация!BS16,[1]Администрация!CG16)</f>
        <v>1813819.2687900001</v>
      </c>
      <c r="H74" s="52">
        <f>G74</f>
        <v>1813819.2687900001</v>
      </c>
      <c r="I74" s="52">
        <f>G74</f>
        <v>1813819.2687900001</v>
      </c>
    </row>
    <row r="75" spans="1:9" ht="25.5" x14ac:dyDescent="0.2">
      <c r="A75" s="191" t="s">
        <v>330</v>
      </c>
      <c r="B75" s="81"/>
      <c r="C75" s="192" t="s">
        <v>71</v>
      </c>
      <c r="D75" s="81" t="s">
        <v>127</v>
      </c>
      <c r="E75" s="81" t="s">
        <v>251</v>
      </c>
      <c r="F75" s="190">
        <v>240</v>
      </c>
      <c r="G75" s="37">
        <f>SUM([1]Администрация!BP16:BR16,[1]Администрация!BT16:CD16,[1]Администрация!CF16,[1]Администрация!CH16:CO16,[1]Администрация!CR16:CY16,[1]Администрация!DR16,[1]Администрация!DU16:EG16,)</f>
        <v>18585.401449999998</v>
      </c>
      <c r="H75" s="52">
        <f>G75</f>
        <v>18585.401449999998</v>
      </c>
      <c r="I75" s="52">
        <f>G75</f>
        <v>18585.401449999998</v>
      </c>
    </row>
    <row r="76" spans="1:9" ht="25.5" x14ac:dyDescent="0.2">
      <c r="A76" s="186" t="s">
        <v>723</v>
      </c>
      <c r="B76" s="187" t="s">
        <v>197</v>
      </c>
      <c r="C76" s="188" t="s">
        <v>71</v>
      </c>
      <c r="D76" s="187" t="s">
        <v>127</v>
      </c>
      <c r="E76" s="187" t="s">
        <v>258</v>
      </c>
      <c r="F76" s="188" t="s">
        <v>219</v>
      </c>
      <c r="G76" s="32">
        <f>SUM(G77:G80)</f>
        <v>3440749.53321</v>
      </c>
      <c r="H76" s="32">
        <f>SUM(H77:H80)</f>
        <v>3440749.53321</v>
      </c>
      <c r="I76" s="32">
        <f>SUM(I77:I80)</f>
        <v>3440749.53321</v>
      </c>
    </row>
    <row r="77" spans="1:9" ht="25.5" x14ac:dyDescent="0.2">
      <c r="A77" s="191" t="s">
        <v>329</v>
      </c>
      <c r="B77" s="81"/>
      <c r="C77" s="192" t="s">
        <v>71</v>
      </c>
      <c r="D77" s="81" t="s">
        <v>127</v>
      </c>
      <c r="E77" s="81" t="s">
        <v>258</v>
      </c>
      <c r="F77" s="190">
        <v>110</v>
      </c>
      <c r="G77" s="37">
        <f>SUM('[1]МКУ "ЕДДС"'!BS7:BU7,'[1]МКУ "ЕДДС"'!BY7,'[1]МКУ "ЕДДС"'!CL7)</f>
        <v>3268677.53321</v>
      </c>
      <c r="H77" s="52">
        <f>G77</f>
        <v>3268677.53321</v>
      </c>
      <c r="I77" s="52">
        <f>G77</f>
        <v>3268677.53321</v>
      </c>
    </row>
    <row r="78" spans="1:9" ht="25.5" x14ac:dyDescent="0.2">
      <c r="A78" s="191" t="s">
        <v>330</v>
      </c>
      <c r="B78" s="81"/>
      <c r="C78" s="192" t="s">
        <v>71</v>
      </c>
      <c r="D78" s="81" t="s">
        <v>127</v>
      </c>
      <c r="E78" s="81" t="s">
        <v>258</v>
      </c>
      <c r="F78" s="190">
        <v>240</v>
      </c>
      <c r="G78" s="37">
        <f>SUM('[1]МКУ "ЕДДС"'!BV7:BX7,'[1]МКУ "ЕДДС"'!BZ7:CI7,'[1]МКУ "ЕДДС"'!CK7,'[1]МКУ "ЕДДС"'!CM7:CT7,'[1]МКУ "ЕДДС"'!CW7:DD7,'[1]МКУ "ЕДДС"'!DV7,'[1]МКУ "ЕДДС"'!DY7:EJ7)</f>
        <v>167072</v>
      </c>
      <c r="H78" s="52">
        <f>G78</f>
        <v>167072</v>
      </c>
      <c r="I78" s="52">
        <f>G78</f>
        <v>167072</v>
      </c>
    </row>
    <row r="79" spans="1:9" ht="28.5" customHeight="1" x14ac:dyDescent="0.2">
      <c r="A79" s="191" t="s">
        <v>331</v>
      </c>
      <c r="B79" s="81"/>
      <c r="C79" s="192" t="s">
        <v>71</v>
      </c>
      <c r="D79" s="81" t="s">
        <v>127</v>
      </c>
      <c r="E79" s="81" t="s">
        <v>258</v>
      </c>
      <c r="F79" s="190">
        <v>400</v>
      </c>
      <c r="G79" s="37">
        <f>SUM('[1]МКУ "ЕДДС"'!DX7)</f>
        <v>0</v>
      </c>
      <c r="H79" s="52">
        <f>G79</f>
        <v>0</v>
      </c>
      <c r="I79" s="52">
        <f>H79</f>
        <v>0</v>
      </c>
    </row>
    <row r="80" spans="1:9" ht="25.5" x14ac:dyDescent="0.2">
      <c r="A80" s="191" t="s">
        <v>330</v>
      </c>
      <c r="B80" s="81"/>
      <c r="C80" s="192" t="s">
        <v>71</v>
      </c>
      <c r="D80" s="81" t="s">
        <v>127</v>
      </c>
      <c r="E80" s="81" t="s">
        <v>258</v>
      </c>
      <c r="F80" s="190">
        <v>850</v>
      </c>
      <c r="G80" s="37">
        <f>SUM('[1]МКУ "ЕДДС"'!DK7:DS7,'[1]МКУ "ЕДДС"'!DU7)</f>
        <v>5000</v>
      </c>
      <c r="H80" s="52">
        <f>G80</f>
        <v>5000</v>
      </c>
      <c r="I80" s="52">
        <f>H80</f>
        <v>5000</v>
      </c>
    </row>
    <row r="81" spans="1:9" ht="75" customHeight="1" x14ac:dyDescent="0.2">
      <c r="A81" s="44" t="s">
        <v>765</v>
      </c>
      <c r="B81" s="81"/>
      <c r="C81" s="192" t="s">
        <v>75</v>
      </c>
      <c r="D81" s="81" t="s">
        <v>66</v>
      </c>
      <c r="E81" s="81" t="s">
        <v>384</v>
      </c>
      <c r="F81" s="192" t="s">
        <v>275</v>
      </c>
      <c r="G81" s="37">
        <f>SUM('[1]МКУ "ЕДДС"'!CV8)</f>
        <v>96000</v>
      </c>
      <c r="H81" s="37">
        <v>0</v>
      </c>
      <c r="I81" s="37">
        <v>0</v>
      </c>
    </row>
    <row r="82" spans="1:9" ht="74.25" customHeight="1" x14ac:dyDescent="0.2">
      <c r="A82" s="44" t="s">
        <v>764</v>
      </c>
      <c r="B82" s="81"/>
      <c r="C82" s="192" t="s">
        <v>75</v>
      </c>
      <c r="D82" s="81" t="s">
        <v>67</v>
      </c>
      <c r="E82" s="81" t="s">
        <v>385</v>
      </c>
      <c r="F82" s="190">
        <v>240</v>
      </c>
      <c r="G82" s="37">
        <f>SUM('[1]МКУ "ЕДДС"'!CX8)</f>
        <v>153000</v>
      </c>
      <c r="H82" s="52">
        <v>0</v>
      </c>
      <c r="I82" s="52">
        <v>0</v>
      </c>
    </row>
    <row r="83" spans="1:9" x14ac:dyDescent="0.2">
      <c r="A83" s="186" t="s">
        <v>216</v>
      </c>
      <c r="B83" s="81"/>
      <c r="C83" s="188" t="s">
        <v>69</v>
      </c>
      <c r="D83" s="187" t="s">
        <v>114</v>
      </c>
      <c r="E83" s="187"/>
      <c r="F83" s="189"/>
      <c r="G83" s="32">
        <f>SUM(G84,G86,G88,G92,G97,G104,G107,G109,G94,G102)</f>
        <v>62683024.75019449</v>
      </c>
      <c r="H83" s="32">
        <f t="shared" ref="H83:I83" si="5">SUM(H84,H86,H88,H92,H97,H104,H107,H109,H94,H102)</f>
        <v>69936650.245457634</v>
      </c>
      <c r="I83" s="32">
        <f t="shared" si="5"/>
        <v>71783133.745457634</v>
      </c>
    </row>
    <row r="84" spans="1:9" x14ac:dyDescent="0.2">
      <c r="A84" s="184" t="s">
        <v>283</v>
      </c>
      <c r="B84" s="187" t="s">
        <v>206</v>
      </c>
      <c r="C84" s="188" t="s">
        <v>69</v>
      </c>
      <c r="D84" s="187" t="s">
        <v>66</v>
      </c>
      <c r="E84" s="187" t="s">
        <v>638</v>
      </c>
      <c r="F84" s="188" t="s">
        <v>219</v>
      </c>
      <c r="G84" s="32">
        <f>SUM(G85)</f>
        <v>90000.000000000029</v>
      </c>
      <c r="H84" s="32">
        <f>SUM(H85)</f>
        <v>0</v>
      </c>
      <c r="I84" s="32">
        <f>SUM(I85)</f>
        <v>0</v>
      </c>
    </row>
    <row r="85" spans="1:9" ht="24.75" customHeight="1" x14ac:dyDescent="0.2">
      <c r="A85" s="302" t="s">
        <v>636</v>
      </c>
      <c r="B85" s="81"/>
      <c r="C85" s="192" t="s">
        <v>69</v>
      </c>
      <c r="D85" s="81" t="s">
        <v>66</v>
      </c>
      <c r="E85" s="81" t="s">
        <v>638</v>
      </c>
      <c r="F85" s="190">
        <v>540</v>
      </c>
      <c r="G85" s="37">
        <f>SUM('[1]МКУ "ФУ"'!DE9)</f>
        <v>90000.000000000029</v>
      </c>
      <c r="H85" s="37">
        <v>0</v>
      </c>
      <c r="I85" s="37">
        <f>H85</f>
        <v>0</v>
      </c>
    </row>
    <row r="86" spans="1:9" ht="27.75" hidden="1" customHeight="1" x14ac:dyDescent="0.2">
      <c r="A86" s="184" t="s">
        <v>637</v>
      </c>
      <c r="B86" s="187"/>
      <c r="C86" s="188" t="s">
        <v>69</v>
      </c>
      <c r="D86" s="187" t="s">
        <v>66</v>
      </c>
      <c r="E86" s="187" t="s">
        <v>639</v>
      </c>
      <c r="F86" s="188" t="s">
        <v>219</v>
      </c>
      <c r="G86" s="32">
        <f>G87</f>
        <v>0</v>
      </c>
      <c r="H86" s="32">
        <f>H87</f>
        <v>0</v>
      </c>
      <c r="I86" s="32">
        <f>I87</f>
        <v>0</v>
      </c>
    </row>
    <row r="87" spans="1:9" ht="12" hidden="1" customHeight="1" x14ac:dyDescent="0.2">
      <c r="A87" s="302" t="s">
        <v>637</v>
      </c>
      <c r="B87" s="81"/>
      <c r="C87" s="192" t="s">
        <v>69</v>
      </c>
      <c r="D87" s="81" t="s">
        <v>66</v>
      </c>
      <c r="E87" s="81" t="s">
        <v>639</v>
      </c>
      <c r="F87" s="190">
        <v>813</v>
      </c>
      <c r="G87" s="37">
        <f>'[1]МКУ "ФУ"'!DE20</f>
        <v>0</v>
      </c>
      <c r="H87" s="37">
        <f>G87</f>
        <v>0</v>
      </c>
      <c r="I87" s="37">
        <f>H87</f>
        <v>0</v>
      </c>
    </row>
    <row r="88" spans="1:9" ht="25.5" x14ac:dyDescent="0.2">
      <c r="A88" s="186" t="s">
        <v>132</v>
      </c>
      <c r="B88" s="81"/>
      <c r="C88" s="188" t="s">
        <v>69</v>
      </c>
      <c r="D88" s="187" t="s">
        <v>74</v>
      </c>
      <c r="E88" s="187" t="s">
        <v>251</v>
      </c>
      <c r="F88" s="188" t="s">
        <v>219</v>
      </c>
      <c r="G88" s="32">
        <f>SUM(G89:G91)</f>
        <v>3506359.7315199999</v>
      </c>
      <c r="H88" s="32">
        <f>SUM(H89:H91)</f>
        <v>3506359.7315199999</v>
      </c>
      <c r="I88" s="32">
        <f>SUM(I89:I91)</f>
        <v>3506359.7315199999</v>
      </c>
    </row>
    <row r="89" spans="1:9" ht="25.5" x14ac:dyDescent="0.2">
      <c r="A89" s="191" t="s">
        <v>328</v>
      </c>
      <c r="B89" s="81"/>
      <c r="C89" s="192" t="s">
        <v>69</v>
      </c>
      <c r="D89" s="81" t="s">
        <v>74</v>
      </c>
      <c r="E89" s="81" t="s">
        <v>251</v>
      </c>
      <c r="F89" s="190">
        <v>120</v>
      </c>
      <c r="G89" s="37">
        <f>SUM('[1]МКУ "УСХ"'!BS6:BU6,'[1]МКУ "УСХ"'!BY6,'[1]МКУ "УСХ"'!CL6)</f>
        <v>3170996.46942</v>
      </c>
      <c r="H89" s="52">
        <f t="shared" ref="H89:I91" si="6">G89</f>
        <v>3170996.46942</v>
      </c>
      <c r="I89" s="52">
        <f t="shared" si="6"/>
        <v>3170996.46942</v>
      </c>
    </row>
    <row r="90" spans="1:9" ht="25.5" x14ac:dyDescent="0.2">
      <c r="A90" s="191" t="s">
        <v>330</v>
      </c>
      <c r="B90" s="81"/>
      <c r="C90" s="192" t="s">
        <v>69</v>
      </c>
      <c r="D90" s="81" t="s">
        <v>74</v>
      </c>
      <c r="E90" s="81" t="s">
        <v>251</v>
      </c>
      <c r="F90" s="190">
        <v>240</v>
      </c>
      <c r="G90" s="37">
        <f>SUM('[1]МКУ "УСХ"'!BV6:BX6,'[1]МКУ "УСХ"'!BZ6:CI6,'[1]МКУ "УСХ"'!CK6,'[1]МКУ "УСХ"'!CM6:CT6,'[1]МКУ "УСХ"'!CW6:DD6,'[1]МКУ "УСХ"'!DW6,'[1]МКУ "УСХ"'!DZ6:EK6)</f>
        <v>315363.26209999999</v>
      </c>
      <c r="H90" s="52">
        <f t="shared" si="6"/>
        <v>315363.26209999999</v>
      </c>
      <c r="I90" s="52">
        <f t="shared" si="6"/>
        <v>315363.26209999999</v>
      </c>
    </row>
    <row r="91" spans="1:9" ht="25.5" x14ac:dyDescent="0.2">
      <c r="A91" s="191" t="s">
        <v>330</v>
      </c>
      <c r="B91" s="81"/>
      <c r="C91" s="192" t="s">
        <v>69</v>
      </c>
      <c r="D91" s="81" t="s">
        <v>74</v>
      </c>
      <c r="E91" s="81" t="s">
        <v>251</v>
      </c>
      <c r="F91" s="190">
        <v>850</v>
      </c>
      <c r="G91" s="37">
        <f>SUM('[1]МКУ "УСХ"'!DL6:DT6,'[1]МКУ "УСХ"'!DV6)</f>
        <v>20000</v>
      </c>
      <c r="H91" s="52">
        <f t="shared" si="6"/>
        <v>20000</v>
      </c>
      <c r="I91" s="52">
        <f t="shared" si="6"/>
        <v>20000</v>
      </c>
    </row>
    <row r="92" spans="1:9" x14ac:dyDescent="0.2">
      <c r="A92" s="184" t="s">
        <v>213</v>
      </c>
      <c r="B92" s="187" t="s">
        <v>197</v>
      </c>
      <c r="C92" s="188" t="s">
        <v>69</v>
      </c>
      <c r="D92" s="187" t="s">
        <v>72</v>
      </c>
      <c r="E92" s="187" t="s">
        <v>398</v>
      </c>
      <c r="F92" s="188" t="s">
        <v>219</v>
      </c>
      <c r="G92" s="32">
        <f>G93</f>
        <v>1470410.4100000001</v>
      </c>
      <c r="H92" s="53">
        <f>H93</f>
        <v>1572109.0000000002</v>
      </c>
      <c r="I92" s="53">
        <f>I93</f>
        <v>1624458.5000000002</v>
      </c>
    </row>
    <row r="93" spans="1:9" x14ac:dyDescent="0.2">
      <c r="A93" s="179" t="s">
        <v>397</v>
      </c>
      <c r="B93" s="81"/>
      <c r="C93" s="192" t="s">
        <v>69</v>
      </c>
      <c r="D93" s="81" t="s">
        <v>72</v>
      </c>
      <c r="E93" s="81" t="s">
        <v>398</v>
      </c>
      <c r="F93" s="190">
        <v>870</v>
      </c>
      <c r="G93" s="37">
        <f>SUM([1]Администрация!EH20)</f>
        <v>1470410.4100000001</v>
      </c>
      <c r="H93" s="52">
        <f>'[1]Смета дох и расх по дор фон №10'!H17</f>
        <v>1572109.0000000002</v>
      </c>
      <c r="I93" s="52">
        <f>'[1]Смета дох и расх по дор фон №10'!I17</f>
        <v>1624458.5000000002</v>
      </c>
    </row>
    <row r="94" spans="1:9" hidden="1" x14ac:dyDescent="0.2">
      <c r="A94" s="33" t="s">
        <v>758</v>
      </c>
      <c r="B94" s="187"/>
      <c r="C94" s="188" t="s">
        <v>69</v>
      </c>
      <c r="D94" s="187" t="s">
        <v>72</v>
      </c>
      <c r="E94" s="187" t="s">
        <v>635</v>
      </c>
      <c r="F94" s="188" t="s">
        <v>219</v>
      </c>
      <c r="G94" s="32">
        <f>SUM(G95:G96)</f>
        <v>0</v>
      </c>
      <c r="H94" s="32">
        <f>SUM(H95:H96)</f>
        <v>0</v>
      </c>
      <c r="I94" s="32">
        <f>SUM(I95:I96)</f>
        <v>0</v>
      </c>
    </row>
    <row r="95" spans="1:9" ht="25.5" hidden="1" x14ac:dyDescent="0.2">
      <c r="A95" s="179" t="s">
        <v>757</v>
      </c>
      <c r="B95" s="81"/>
      <c r="C95" s="192" t="s">
        <v>69</v>
      </c>
      <c r="D95" s="81" t="s">
        <v>72</v>
      </c>
      <c r="E95" s="81" t="s">
        <v>635</v>
      </c>
      <c r="F95" s="190">
        <v>243</v>
      </c>
      <c r="G95" s="37">
        <f>[1]Администрация!BY35</f>
        <v>0</v>
      </c>
      <c r="H95" s="52">
        <v>0</v>
      </c>
      <c r="I95" s="52">
        <v>0</v>
      </c>
    </row>
    <row r="96" spans="1:9" ht="25.5" hidden="1" x14ac:dyDescent="0.2">
      <c r="A96" s="179" t="s">
        <v>759</v>
      </c>
      <c r="B96" s="81"/>
      <c r="C96" s="192" t="s">
        <v>69</v>
      </c>
      <c r="D96" s="81" t="s">
        <v>72</v>
      </c>
      <c r="E96" s="81" t="s">
        <v>635</v>
      </c>
      <c r="F96" s="190">
        <v>243</v>
      </c>
      <c r="G96" s="37">
        <f>[1]Администрация!BL36</f>
        <v>0</v>
      </c>
      <c r="H96" s="52">
        <v>0</v>
      </c>
      <c r="I96" s="52">
        <v>0</v>
      </c>
    </row>
    <row r="97" spans="1:9" ht="49.5" customHeight="1" x14ac:dyDescent="0.2">
      <c r="A97" s="48" t="s">
        <v>724</v>
      </c>
      <c r="B97" s="187" t="s">
        <v>206</v>
      </c>
      <c r="C97" s="188" t="s">
        <v>69</v>
      </c>
      <c r="D97" s="187" t="s">
        <v>72</v>
      </c>
      <c r="E97" s="187" t="s">
        <v>635</v>
      </c>
      <c r="F97" s="188" t="s">
        <v>219</v>
      </c>
      <c r="G97" s="32">
        <f>SUM(G98:G101)</f>
        <v>40541316</v>
      </c>
      <c r="H97" s="32">
        <f t="shared" ref="H97:I97" si="7">SUM(H98:H101)</f>
        <v>44019052</v>
      </c>
      <c r="I97" s="32">
        <f t="shared" si="7"/>
        <v>45484838</v>
      </c>
    </row>
    <row r="98" spans="1:9" ht="38.25" hidden="1" x14ac:dyDescent="0.2">
      <c r="A98" s="179" t="s">
        <v>332</v>
      </c>
      <c r="B98" s="81"/>
      <c r="C98" s="192" t="s">
        <v>69</v>
      </c>
      <c r="D98" s="81" t="s">
        <v>72</v>
      </c>
      <c r="E98" s="81" t="s">
        <v>635</v>
      </c>
      <c r="F98" s="190">
        <v>540</v>
      </c>
      <c r="G98" s="37">
        <f>SUM('[1]Автоакц прил №'!C31)</f>
        <v>0</v>
      </c>
      <c r="H98" s="37">
        <f>SUM('[1]Автоакц прил №'!D31)</f>
        <v>0</v>
      </c>
      <c r="I98" s="37">
        <f>SUM('[1]Автоакц прил №'!E31)</f>
        <v>0</v>
      </c>
    </row>
    <row r="99" spans="1:9" ht="38.25" x14ac:dyDescent="0.2">
      <c r="A99" s="179" t="s">
        <v>334</v>
      </c>
      <c r="B99" s="81"/>
      <c r="C99" s="192" t="s">
        <v>69</v>
      </c>
      <c r="D99" s="81" t="s">
        <v>72</v>
      </c>
      <c r="E99" s="81" t="s">
        <v>635</v>
      </c>
      <c r="F99" s="190">
        <v>610</v>
      </c>
      <c r="G99" s="37">
        <f>'[1]МБУ ЖКХ'!DI56</f>
        <v>40541316</v>
      </c>
      <c r="H99" s="37">
        <f>SUM('[1]Автоакц прил №'!D47)</f>
        <v>44019052</v>
      </c>
      <c r="I99" s="37">
        <f>SUM('[1]Автоакц прил №'!E47)</f>
        <v>45484838</v>
      </c>
    </row>
    <row r="100" spans="1:9" ht="38.25" hidden="1" x14ac:dyDescent="0.2">
      <c r="A100" s="179" t="s">
        <v>334</v>
      </c>
      <c r="B100" s="81"/>
      <c r="C100" s="192" t="s">
        <v>69</v>
      </c>
      <c r="D100" s="81" t="s">
        <v>72</v>
      </c>
      <c r="E100" s="81" t="s">
        <v>635</v>
      </c>
      <c r="F100" s="190">
        <v>612</v>
      </c>
      <c r="G100" s="37">
        <f>SUM('[1]МБУ ЖКХ'!DI65)</f>
        <v>0</v>
      </c>
      <c r="H100" s="37">
        <v>0</v>
      </c>
      <c r="I100" s="37">
        <v>0</v>
      </c>
    </row>
    <row r="101" spans="1:9" ht="51" hidden="1" x14ac:dyDescent="0.2">
      <c r="A101" s="179" t="s">
        <v>787</v>
      </c>
      <c r="B101" s="81"/>
      <c r="C101" s="192" t="s">
        <v>69</v>
      </c>
      <c r="D101" s="81" t="s">
        <v>72</v>
      </c>
      <c r="E101" s="81" t="s">
        <v>635</v>
      </c>
      <c r="F101" s="190">
        <v>540</v>
      </c>
      <c r="G101" s="37">
        <f>'[1]Автоакц прил №'!C31</f>
        <v>0</v>
      </c>
      <c r="H101" s="37">
        <f>'[1]Автоакц прил №'!D31</f>
        <v>0</v>
      </c>
      <c r="I101" s="37">
        <f>'[1]Автоакц прил №'!E31</f>
        <v>0</v>
      </c>
    </row>
    <row r="102" spans="1:9" ht="27.75" customHeight="1" x14ac:dyDescent="0.2">
      <c r="A102" s="33" t="str">
        <f>A103</f>
        <v>Переданные полномочия поселений (Дорожная деятельность)</v>
      </c>
      <c r="B102" s="187" t="s">
        <v>206</v>
      </c>
      <c r="C102" s="188" t="s">
        <v>69</v>
      </c>
      <c r="D102" s="187" t="s">
        <v>72</v>
      </c>
      <c r="E102" s="187" t="s">
        <v>638</v>
      </c>
      <c r="F102" s="188" t="s">
        <v>219</v>
      </c>
      <c r="G102" s="32">
        <f>G103</f>
        <v>1979999.5139376419</v>
      </c>
      <c r="H102" s="32">
        <f>H103</f>
        <v>1979999.5139376419</v>
      </c>
      <c r="I102" s="32">
        <f>I103</f>
        <v>1979999.5139376419</v>
      </c>
    </row>
    <row r="103" spans="1:9" ht="26.25" customHeight="1" x14ac:dyDescent="0.2">
      <c r="A103" s="179" t="str">
        <f>'[1]МКУ "ФУ"'!A10:B10</f>
        <v>Переданные полномочия поселений (Дорожная деятельность)</v>
      </c>
      <c r="B103" s="81"/>
      <c r="C103" s="192" t="s">
        <v>69</v>
      </c>
      <c r="D103" s="81" t="s">
        <v>72</v>
      </c>
      <c r="E103" s="81" t="s">
        <v>788</v>
      </c>
      <c r="F103" s="190">
        <v>540</v>
      </c>
      <c r="G103" s="37">
        <f>'[1]МКУ "ФУ"'!DE10</f>
        <v>1979999.5139376419</v>
      </c>
      <c r="H103" s="37">
        <f>G103</f>
        <v>1979999.5139376419</v>
      </c>
      <c r="I103" s="37">
        <f>H103</f>
        <v>1979999.5139376419</v>
      </c>
    </row>
    <row r="104" spans="1:9" x14ac:dyDescent="0.2">
      <c r="A104" s="33" t="s">
        <v>641</v>
      </c>
      <c r="B104" s="187" t="s">
        <v>206</v>
      </c>
      <c r="C104" s="188" t="s">
        <v>69</v>
      </c>
      <c r="D104" s="187" t="s">
        <v>72</v>
      </c>
      <c r="E104" s="187" t="s">
        <v>642</v>
      </c>
      <c r="F104" s="188" t="s">
        <v>219</v>
      </c>
      <c r="G104" s="32">
        <f>SUM(G105:G106)</f>
        <v>14894939.094736842</v>
      </c>
      <c r="H104" s="32">
        <f>SUM(H105:H106)</f>
        <v>18659130</v>
      </c>
      <c r="I104" s="32">
        <f>SUM(I105:I106)</f>
        <v>18987478</v>
      </c>
    </row>
    <row r="105" spans="1:9" ht="51" x14ac:dyDescent="0.2">
      <c r="A105" s="179" t="s">
        <v>644</v>
      </c>
      <c r="B105" s="81"/>
      <c r="C105" s="192" t="s">
        <v>69</v>
      </c>
      <c r="D105" s="81" t="s">
        <v>72</v>
      </c>
      <c r="E105" s="81" t="s">
        <v>640</v>
      </c>
      <c r="F105" s="190">
        <v>612</v>
      </c>
      <c r="G105" s="37">
        <f>SUM('[1]МБУ ЖКХ'!DI50)</f>
        <v>14894939.094736842</v>
      </c>
      <c r="H105" s="37">
        <f>'[1]Доходы прил №1'!F39*1000</f>
        <v>18659130</v>
      </c>
      <c r="I105" s="37">
        <f>'[1]Доходы прил №1'!G39*1000</f>
        <v>18987478</v>
      </c>
    </row>
    <row r="106" spans="1:9" ht="25.5" hidden="1" customHeight="1" x14ac:dyDescent="0.2">
      <c r="A106" s="179" t="s">
        <v>645</v>
      </c>
      <c r="B106" s="81"/>
      <c r="C106" s="192" t="s">
        <v>69</v>
      </c>
      <c r="D106" s="81" t="s">
        <v>72</v>
      </c>
      <c r="E106" s="81" t="s">
        <v>640</v>
      </c>
      <c r="F106" s="190">
        <v>522</v>
      </c>
      <c r="G106" s="37">
        <f>SUM('[1]МКУ "ФУ"'!DE14)</f>
        <v>0</v>
      </c>
      <c r="H106" s="37">
        <f>G106</f>
        <v>0</v>
      </c>
      <c r="I106" s="37">
        <f>H106</f>
        <v>0</v>
      </c>
    </row>
    <row r="107" spans="1:9" ht="25.5" hidden="1" customHeight="1" x14ac:dyDescent="0.2">
      <c r="A107" s="33" t="s">
        <v>643</v>
      </c>
      <c r="B107" s="187" t="s">
        <v>206</v>
      </c>
      <c r="C107" s="188" t="s">
        <v>69</v>
      </c>
      <c r="D107" s="187" t="s">
        <v>72</v>
      </c>
      <c r="E107" s="187" t="s">
        <v>647</v>
      </c>
      <c r="F107" s="188" t="s">
        <v>219</v>
      </c>
      <c r="G107" s="32">
        <f>G108</f>
        <v>0</v>
      </c>
      <c r="H107" s="32">
        <f>H108</f>
        <v>0</v>
      </c>
      <c r="I107" s="32">
        <f>I108</f>
        <v>0</v>
      </c>
    </row>
    <row r="108" spans="1:9" ht="37.5" hidden="1" customHeight="1" x14ac:dyDescent="0.2">
      <c r="A108" s="179" t="s">
        <v>686</v>
      </c>
      <c r="B108" s="81"/>
      <c r="C108" s="192" t="s">
        <v>69</v>
      </c>
      <c r="D108" s="81" t="s">
        <v>72</v>
      </c>
      <c r="E108" s="81" t="s">
        <v>646</v>
      </c>
      <c r="F108" s="190">
        <v>523</v>
      </c>
      <c r="G108" s="37">
        <f>SUM('[1]МКУ "ФУ"'!DE16)</f>
        <v>0</v>
      </c>
      <c r="H108" s="37">
        <f>G108</f>
        <v>0</v>
      </c>
      <c r="I108" s="37">
        <f>H108</f>
        <v>0</v>
      </c>
    </row>
    <row r="109" spans="1:9" ht="51" customHeight="1" x14ac:dyDescent="0.2">
      <c r="A109" s="184" t="s">
        <v>789</v>
      </c>
      <c r="B109" s="187" t="s">
        <v>206</v>
      </c>
      <c r="C109" s="188" t="s">
        <v>69</v>
      </c>
      <c r="D109" s="187" t="s">
        <v>86</v>
      </c>
      <c r="E109" s="187" t="s">
        <v>477</v>
      </c>
      <c r="F109" s="188" t="s">
        <v>219</v>
      </c>
      <c r="G109" s="32">
        <f>SUM(G110)</f>
        <v>200000</v>
      </c>
      <c r="H109" s="32">
        <f>SUM(H110)</f>
        <v>200000</v>
      </c>
      <c r="I109" s="32">
        <f>SUM(I110)</f>
        <v>200000</v>
      </c>
    </row>
    <row r="110" spans="1:9" ht="30.75" customHeight="1" x14ac:dyDescent="0.2">
      <c r="A110" s="191" t="s">
        <v>634</v>
      </c>
      <c r="B110" s="81"/>
      <c r="C110" s="192" t="s">
        <v>69</v>
      </c>
      <c r="D110" s="81" t="s">
        <v>86</v>
      </c>
      <c r="E110" s="81" t="s">
        <v>477</v>
      </c>
      <c r="F110" s="190">
        <v>612</v>
      </c>
      <c r="G110" s="37">
        <f>'[1]МБУ ЖКХ'!DI66</f>
        <v>200000</v>
      </c>
      <c r="H110" s="37">
        <f>G110</f>
        <v>200000</v>
      </c>
      <c r="I110" s="37">
        <f>G110</f>
        <v>200000</v>
      </c>
    </row>
    <row r="111" spans="1:9" ht="30.75" customHeight="1" x14ac:dyDescent="0.2">
      <c r="A111" s="184" t="s">
        <v>725</v>
      </c>
      <c r="B111" s="187" t="s">
        <v>206</v>
      </c>
      <c r="C111" s="188" t="s">
        <v>74</v>
      </c>
      <c r="D111" s="187" t="s">
        <v>114</v>
      </c>
      <c r="E111" s="81"/>
      <c r="F111" s="190"/>
      <c r="G111" s="32">
        <f>SUM(G112,G115,G118,G120,G122,G126,G128,G130,G132,G134,G136,G117)</f>
        <v>55137188.979658887</v>
      </c>
      <c r="H111" s="32">
        <f>SUM(H112,H115,H118,H120,H122,H126,H128,H130,H132,H134,H136)</f>
        <v>15512887.75</v>
      </c>
      <c r="I111" s="32">
        <f>SUM(I112,I115,I118,I120,I122,I126,I128,I130,I132,I134,I136)</f>
        <v>15512887.75</v>
      </c>
    </row>
    <row r="112" spans="1:9" ht="26.25" hidden="1" customHeight="1" x14ac:dyDescent="0.2">
      <c r="A112" s="184" t="s">
        <v>725</v>
      </c>
      <c r="B112" s="81"/>
      <c r="C112" s="188" t="s">
        <v>74</v>
      </c>
      <c r="D112" s="187" t="s">
        <v>66</v>
      </c>
      <c r="E112" s="187" t="s">
        <v>326</v>
      </c>
      <c r="F112" s="188" t="s">
        <v>219</v>
      </c>
      <c r="G112" s="32">
        <f>SUM(G113:G114)</f>
        <v>0</v>
      </c>
      <c r="H112" s="32">
        <f>SUM(H113:H114)</f>
        <v>0</v>
      </c>
      <c r="I112" s="32">
        <f>SUM(I113:I114)</f>
        <v>0</v>
      </c>
    </row>
    <row r="113" spans="1:9" ht="27.4" hidden="1" customHeight="1" x14ac:dyDescent="0.2">
      <c r="A113" s="193" t="s">
        <v>333</v>
      </c>
      <c r="B113" s="81"/>
      <c r="C113" s="192" t="s">
        <v>74</v>
      </c>
      <c r="D113" s="81" t="s">
        <v>66</v>
      </c>
      <c r="E113" s="81" t="s">
        <v>326</v>
      </c>
      <c r="F113" s="190">
        <v>611</v>
      </c>
      <c r="G113" s="37">
        <f>SUM('[1]МБУ ЖКХ'!DH6)</f>
        <v>0</v>
      </c>
      <c r="H113" s="37">
        <f t="shared" ref="H113:I119" si="8">G113</f>
        <v>0</v>
      </c>
      <c r="I113" s="37">
        <f t="shared" si="8"/>
        <v>0</v>
      </c>
    </row>
    <row r="114" spans="1:9" ht="14.25" hidden="1" customHeight="1" x14ac:dyDescent="0.2">
      <c r="A114" s="191" t="s">
        <v>298</v>
      </c>
      <c r="B114" s="81"/>
      <c r="C114" s="192" t="s">
        <v>74</v>
      </c>
      <c r="D114" s="81" t="s">
        <v>66</v>
      </c>
      <c r="E114" s="81" t="s">
        <v>326</v>
      </c>
      <c r="F114" s="190">
        <v>612</v>
      </c>
      <c r="G114" s="37">
        <f>SUM('[1]МБУ ЖКХ'!DI6)</f>
        <v>0</v>
      </c>
      <c r="H114" s="37">
        <f t="shared" si="8"/>
        <v>0</v>
      </c>
      <c r="I114" s="37">
        <f t="shared" si="8"/>
        <v>0</v>
      </c>
    </row>
    <row r="115" spans="1:9" ht="27" customHeight="1" x14ac:dyDescent="0.2">
      <c r="A115" s="186" t="s">
        <v>649</v>
      </c>
      <c r="B115" s="187"/>
      <c r="C115" s="188" t="s">
        <v>74</v>
      </c>
      <c r="D115" s="187" t="s">
        <v>66</v>
      </c>
      <c r="E115" s="187" t="s">
        <v>638</v>
      </c>
      <c r="F115" s="188" t="s">
        <v>219</v>
      </c>
      <c r="G115" s="32">
        <f>G116</f>
        <v>90000.000000000029</v>
      </c>
      <c r="H115" s="32">
        <f>H116</f>
        <v>0</v>
      </c>
      <c r="I115" s="32">
        <f>I116</f>
        <v>0</v>
      </c>
    </row>
    <row r="116" spans="1:9" ht="28.5" customHeight="1" x14ac:dyDescent="0.2">
      <c r="A116" s="191" t="s">
        <v>649</v>
      </c>
      <c r="B116" s="81"/>
      <c r="C116" s="192" t="s">
        <v>74</v>
      </c>
      <c r="D116" s="81" t="s">
        <v>66</v>
      </c>
      <c r="E116" s="81" t="s">
        <v>638</v>
      </c>
      <c r="F116" s="190">
        <v>540</v>
      </c>
      <c r="G116" s="37">
        <f>SUM('[1]МКУ "ФУ"'!DE11)</f>
        <v>90000.000000000029</v>
      </c>
      <c r="H116" s="37">
        <v>0</v>
      </c>
      <c r="I116" s="37">
        <v>0</v>
      </c>
    </row>
    <row r="117" spans="1:9" ht="28.5" customHeight="1" x14ac:dyDescent="0.2">
      <c r="A117" s="191" t="s">
        <v>863</v>
      </c>
      <c r="B117" s="81"/>
      <c r="C117" s="192" t="s">
        <v>74</v>
      </c>
      <c r="D117" s="81" t="s">
        <v>66</v>
      </c>
      <c r="E117" s="81" t="s">
        <v>638</v>
      </c>
      <c r="F117" s="190">
        <v>612</v>
      </c>
      <c r="G117" s="37">
        <f>'[1]МБУ ЖКХ'!DI13</f>
        <v>991448</v>
      </c>
      <c r="H117" s="37">
        <v>0</v>
      </c>
      <c r="I117" s="37">
        <v>0</v>
      </c>
    </row>
    <row r="118" spans="1:9" ht="28.5" customHeight="1" x14ac:dyDescent="0.2">
      <c r="A118" s="170" t="s">
        <v>333</v>
      </c>
      <c r="B118" s="187"/>
      <c r="C118" s="188" t="s">
        <v>74</v>
      </c>
      <c r="D118" s="187" t="s">
        <v>67</v>
      </c>
      <c r="E118" s="187" t="s">
        <v>326</v>
      </c>
      <c r="F118" s="188" t="s">
        <v>219</v>
      </c>
      <c r="G118" s="32">
        <f>G119</f>
        <v>1045221</v>
      </c>
      <c r="H118" s="32">
        <f>H119</f>
        <v>1045221</v>
      </c>
      <c r="I118" s="32">
        <f>I119</f>
        <v>1045221</v>
      </c>
    </row>
    <row r="119" spans="1:9" ht="26.45" customHeight="1" x14ac:dyDescent="0.2">
      <c r="A119" s="44" t="s">
        <v>333</v>
      </c>
      <c r="B119" s="81"/>
      <c r="C119" s="192" t="s">
        <v>74</v>
      </c>
      <c r="D119" s="81" t="s">
        <v>67</v>
      </c>
      <c r="E119" s="81" t="s">
        <v>326</v>
      </c>
      <c r="F119" s="190">
        <v>611</v>
      </c>
      <c r="G119" s="37">
        <f>'[1]МБУ ЖКХ'!DH29</f>
        <v>1045221</v>
      </c>
      <c r="H119" s="37">
        <f t="shared" si="8"/>
        <v>1045221</v>
      </c>
      <c r="I119" s="37">
        <f t="shared" si="8"/>
        <v>1045221</v>
      </c>
    </row>
    <row r="120" spans="1:9" ht="27.75" hidden="1" customHeight="1" x14ac:dyDescent="0.2">
      <c r="A120" s="170" t="s">
        <v>333</v>
      </c>
      <c r="B120" s="187"/>
      <c r="C120" s="188" t="s">
        <v>74</v>
      </c>
      <c r="D120" s="187" t="s">
        <v>67</v>
      </c>
      <c r="E120" s="187" t="s">
        <v>648</v>
      </c>
      <c r="F120" s="188" t="s">
        <v>219</v>
      </c>
      <c r="G120" s="32">
        <f>SUM(G121:G121)</f>
        <v>0</v>
      </c>
      <c r="H120" s="32">
        <f>SUM(H121:H121)</f>
        <v>0</v>
      </c>
      <c r="I120" s="32">
        <f>SUM(I121:I121)</f>
        <v>0</v>
      </c>
    </row>
    <row r="121" spans="1:9" ht="22.5" hidden="1" customHeight="1" x14ac:dyDescent="0.2">
      <c r="A121" s="191" t="s">
        <v>298</v>
      </c>
      <c r="B121" s="81"/>
      <c r="C121" s="192" t="s">
        <v>74</v>
      </c>
      <c r="D121" s="81" t="s">
        <v>67</v>
      </c>
      <c r="E121" s="81" t="s">
        <v>648</v>
      </c>
      <c r="F121" s="190">
        <v>612</v>
      </c>
      <c r="G121" s="37">
        <f>SUM('[1]МБУ ЖКХ'!DI19)</f>
        <v>0</v>
      </c>
      <c r="H121" s="37">
        <f>G121</f>
        <v>0</v>
      </c>
      <c r="I121" s="37">
        <f>H121</f>
        <v>0</v>
      </c>
    </row>
    <row r="122" spans="1:9" ht="22.5" customHeight="1" x14ac:dyDescent="0.2">
      <c r="A122" s="186" t="s">
        <v>726</v>
      </c>
      <c r="B122" s="81"/>
      <c r="C122" s="188" t="s">
        <v>74</v>
      </c>
      <c r="D122" s="187" t="s">
        <v>67</v>
      </c>
      <c r="E122" s="187" t="s">
        <v>646</v>
      </c>
      <c r="F122" s="188" t="s">
        <v>219</v>
      </c>
      <c r="G122" s="32">
        <f>SUM(G123:G125)</f>
        <v>2360632.75</v>
      </c>
      <c r="H122" s="32">
        <f>SUM(H123:H125)</f>
        <v>2360632.75</v>
      </c>
      <c r="I122" s="32">
        <f>SUM(I123:I125)</f>
        <v>2360632.75</v>
      </c>
    </row>
    <row r="123" spans="1:9" ht="24.75" customHeight="1" x14ac:dyDescent="0.2">
      <c r="A123" s="191" t="s">
        <v>298</v>
      </c>
      <c r="B123" s="81"/>
      <c r="C123" s="192" t="s">
        <v>74</v>
      </c>
      <c r="D123" s="81" t="s">
        <v>67</v>
      </c>
      <c r="E123" s="81" t="s">
        <v>646</v>
      </c>
      <c r="F123" s="190">
        <v>612</v>
      </c>
      <c r="G123" s="37">
        <f>'[1]МБУ ЖКХ'!DI49</f>
        <v>2360632.75</v>
      </c>
      <c r="H123" s="37">
        <f t="shared" ref="H123:I125" si="9">G123</f>
        <v>2360632.75</v>
      </c>
      <c r="I123" s="37">
        <f t="shared" si="9"/>
        <v>2360632.75</v>
      </c>
    </row>
    <row r="124" spans="1:9" ht="23.25" hidden="1" customHeight="1" x14ac:dyDescent="0.2">
      <c r="A124" s="191" t="s">
        <v>651</v>
      </c>
      <c r="B124" s="81"/>
      <c r="C124" s="192" t="s">
        <v>74</v>
      </c>
      <c r="D124" s="81" t="s">
        <v>67</v>
      </c>
      <c r="E124" s="81" t="s">
        <v>646</v>
      </c>
      <c r="F124" s="190">
        <v>522</v>
      </c>
      <c r="G124" s="37">
        <f>SUM('[1]МКУ "ФУ"'!DE17)</f>
        <v>0</v>
      </c>
      <c r="H124" s="37">
        <f t="shared" si="9"/>
        <v>0</v>
      </c>
      <c r="I124" s="37">
        <f t="shared" si="9"/>
        <v>0</v>
      </c>
    </row>
    <row r="125" spans="1:9" ht="15" hidden="1" customHeight="1" x14ac:dyDescent="0.2">
      <c r="A125" s="191" t="s">
        <v>652</v>
      </c>
      <c r="B125" s="81"/>
      <c r="C125" s="192" t="s">
        <v>74</v>
      </c>
      <c r="D125" s="81" t="s">
        <v>67</v>
      </c>
      <c r="E125" s="81" t="s">
        <v>646</v>
      </c>
      <c r="F125" s="190">
        <v>523</v>
      </c>
      <c r="G125" s="37">
        <f>SUM('[1]МКУ "ФУ"'!DE18)</f>
        <v>0</v>
      </c>
      <c r="H125" s="37">
        <f t="shared" si="9"/>
        <v>0</v>
      </c>
      <c r="I125" s="37">
        <f t="shared" si="9"/>
        <v>0</v>
      </c>
    </row>
    <row r="126" spans="1:9" ht="25.5" x14ac:dyDescent="0.2">
      <c r="A126" s="184" t="s">
        <v>650</v>
      </c>
      <c r="B126" s="187"/>
      <c r="C126" s="188" t="s">
        <v>74</v>
      </c>
      <c r="D126" s="187" t="s">
        <v>67</v>
      </c>
      <c r="E126" s="187" t="s">
        <v>638</v>
      </c>
      <c r="F126" s="188" t="s">
        <v>219</v>
      </c>
      <c r="G126" s="42">
        <f>G127</f>
        <v>4950000.0000000009</v>
      </c>
      <c r="H126" s="42">
        <f>H127</f>
        <v>0</v>
      </c>
      <c r="I126" s="42">
        <f>I127</f>
        <v>0</v>
      </c>
    </row>
    <row r="127" spans="1:9" ht="25.5" x14ac:dyDescent="0.2">
      <c r="A127" s="191" t="s">
        <v>650</v>
      </c>
      <c r="B127" s="81"/>
      <c r="C127" s="192" t="s">
        <v>74</v>
      </c>
      <c r="D127" s="81" t="s">
        <v>67</v>
      </c>
      <c r="E127" s="81" t="s">
        <v>638</v>
      </c>
      <c r="F127" s="190">
        <v>540</v>
      </c>
      <c r="G127" s="37">
        <f>SUM('[1]МКУ "ФУ"'!DE12)</f>
        <v>4950000.0000000009</v>
      </c>
      <c r="H127" s="37">
        <v>0</v>
      </c>
      <c r="I127" s="37">
        <v>0</v>
      </c>
    </row>
    <row r="128" spans="1:9" x14ac:dyDescent="0.2">
      <c r="A128" s="184" t="s">
        <v>653</v>
      </c>
      <c r="B128" s="187"/>
      <c r="C128" s="188" t="s">
        <v>74</v>
      </c>
      <c r="D128" s="187" t="s">
        <v>71</v>
      </c>
      <c r="E128" s="187" t="s">
        <v>654</v>
      </c>
      <c r="F128" s="188" t="s">
        <v>219</v>
      </c>
      <c r="G128" s="330">
        <f>G129</f>
        <v>23585318.256888889</v>
      </c>
      <c r="H128" s="32">
        <f>H129</f>
        <v>0</v>
      </c>
      <c r="I128" s="32">
        <f>I129</f>
        <v>0</v>
      </c>
    </row>
    <row r="129" spans="1:9" x14ac:dyDescent="0.2">
      <c r="A129" s="191" t="s">
        <v>653</v>
      </c>
      <c r="B129" s="81"/>
      <c r="C129" s="192" t="s">
        <v>74</v>
      </c>
      <c r="D129" s="81" t="s">
        <v>71</v>
      </c>
      <c r="E129" s="81" t="s">
        <v>654</v>
      </c>
      <c r="F129" s="190">
        <v>612</v>
      </c>
      <c r="G129" s="331">
        <f>SUM('[1]МБУ ЖКХ'!DI45)</f>
        <v>23585318.256888889</v>
      </c>
      <c r="H129" s="37">
        <f>'[1]Доходы прил №1'!F36*1000</f>
        <v>0</v>
      </c>
      <c r="I129" s="37">
        <f>'[1]Доходы прил №1'!G36*1000</f>
        <v>0</v>
      </c>
    </row>
    <row r="130" spans="1:9" ht="25.5" x14ac:dyDescent="0.2">
      <c r="A130" s="199" t="s">
        <v>333</v>
      </c>
      <c r="B130" s="187"/>
      <c r="C130" s="188" t="s">
        <v>74</v>
      </c>
      <c r="D130" s="187" t="s">
        <v>71</v>
      </c>
      <c r="E130" s="187" t="s">
        <v>259</v>
      </c>
      <c r="F130" s="188" t="s">
        <v>219</v>
      </c>
      <c r="G130" s="32">
        <f>G131</f>
        <v>8802144</v>
      </c>
      <c r="H130" s="32">
        <f>H131</f>
        <v>0</v>
      </c>
      <c r="I130" s="32">
        <f>I131</f>
        <v>0</v>
      </c>
    </row>
    <row r="131" spans="1:9" ht="25.5" x14ac:dyDescent="0.2">
      <c r="A131" s="44" t="s">
        <v>333</v>
      </c>
      <c r="B131" s="81"/>
      <c r="C131" s="192" t="s">
        <v>74</v>
      </c>
      <c r="D131" s="81" t="s">
        <v>71</v>
      </c>
      <c r="E131" s="81" t="s">
        <v>259</v>
      </c>
      <c r="F131" s="190">
        <v>611</v>
      </c>
      <c r="G131" s="37">
        <f>'[1]МБУ ЖКХ'!DH37</f>
        <v>8802144</v>
      </c>
      <c r="H131" s="37">
        <v>0</v>
      </c>
      <c r="I131" s="37">
        <v>0</v>
      </c>
    </row>
    <row r="132" spans="1:9" ht="18" hidden="1" customHeight="1" x14ac:dyDescent="0.2">
      <c r="A132" s="184" t="s">
        <v>298</v>
      </c>
      <c r="B132" s="187"/>
      <c r="C132" s="188" t="s">
        <v>74</v>
      </c>
      <c r="D132" s="187" t="s">
        <v>71</v>
      </c>
      <c r="E132" s="187" t="s">
        <v>655</v>
      </c>
      <c r="F132" s="188" t="s">
        <v>219</v>
      </c>
      <c r="G132" s="32">
        <f>G133</f>
        <v>0</v>
      </c>
      <c r="H132" s="32">
        <f>H133</f>
        <v>0</v>
      </c>
      <c r="I132" s="32">
        <f>I133</f>
        <v>0</v>
      </c>
    </row>
    <row r="133" spans="1:9" ht="18" hidden="1" customHeight="1" x14ac:dyDescent="0.2">
      <c r="A133" s="191" t="s">
        <v>298</v>
      </c>
      <c r="B133" s="81"/>
      <c r="C133" s="192" t="s">
        <v>74</v>
      </c>
      <c r="D133" s="81" t="s">
        <v>71</v>
      </c>
      <c r="E133" s="81" t="s">
        <v>655</v>
      </c>
      <c r="F133" s="190">
        <v>612</v>
      </c>
      <c r="G133" s="37">
        <f>SUM('[1]МБУ ЖКХ'!DI33)</f>
        <v>0</v>
      </c>
      <c r="H133" s="37">
        <v>0</v>
      </c>
      <c r="I133" s="37">
        <v>0</v>
      </c>
    </row>
    <row r="134" spans="1:9" ht="38.25" x14ac:dyDescent="0.2">
      <c r="A134" s="69" t="s">
        <v>596</v>
      </c>
      <c r="B134" s="187"/>
      <c r="C134" s="188" t="s">
        <v>74</v>
      </c>
      <c r="D134" s="187" t="s">
        <v>71</v>
      </c>
      <c r="E134" s="187" t="s">
        <v>638</v>
      </c>
      <c r="F134" s="188" t="s">
        <v>219</v>
      </c>
      <c r="G134" s="32">
        <f>G135</f>
        <v>1890000.0000000002</v>
      </c>
      <c r="H134" s="32">
        <f>H135</f>
        <v>0</v>
      </c>
      <c r="I134" s="32">
        <f>I135</f>
        <v>0</v>
      </c>
    </row>
    <row r="135" spans="1:9" ht="42" customHeight="1" x14ac:dyDescent="0.2">
      <c r="A135" s="82" t="s">
        <v>596</v>
      </c>
      <c r="B135" s="291"/>
      <c r="C135" s="192" t="s">
        <v>74</v>
      </c>
      <c r="D135" s="81" t="s">
        <v>71</v>
      </c>
      <c r="E135" s="81" t="s">
        <v>638</v>
      </c>
      <c r="F135" s="190">
        <v>540</v>
      </c>
      <c r="G135" s="37">
        <f>SUM('[1]МКУ "ФУ"'!DE13)</f>
        <v>1890000.0000000002</v>
      </c>
      <c r="H135" s="37">
        <v>0</v>
      </c>
      <c r="I135" s="37">
        <v>0</v>
      </c>
    </row>
    <row r="136" spans="1:9" ht="42" customHeight="1" x14ac:dyDescent="0.2">
      <c r="A136" s="170" t="s">
        <v>333</v>
      </c>
      <c r="B136" s="194"/>
      <c r="C136" s="188" t="s">
        <v>74</v>
      </c>
      <c r="D136" s="187" t="s">
        <v>74</v>
      </c>
      <c r="E136" s="187" t="s">
        <v>259</v>
      </c>
      <c r="F136" s="188" t="s">
        <v>219</v>
      </c>
      <c r="G136" s="32">
        <f>SUM(G137:G138,G139)</f>
        <v>11422424.97277</v>
      </c>
      <c r="H136" s="32">
        <f>SUM(H137:H138,H139)</f>
        <v>12107034</v>
      </c>
      <c r="I136" s="32">
        <f>SUM(I137:I138,I139)</f>
        <v>12107034</v>
      </c>
    </row>
    <row r="137" spans="1:9" ht="25.5" x14ac:dyDescent="0.2">
      <c r="A137" s="44" t="s">
        <v>333</v>
      </c>
      <c r="B137" s="81"/>
      <c r="C137" s="192" t="s">
        <v>74</v>
      </c>
      <c r="D137" s="81" t="s">
        <v>74</v>
      </c>
      <c r="E137" s="81" t="s">
        <v>259</v>
      </c>
      <c r="F137" s="190">
        <v>611</v>
      </c>
      <c r="G137" s="37">
        <f>SUM('[1]МБУ ЖКХ'!DH9)</f>
        <v>11419424.97277</v>
      </c>
      <c r="H137" s="37">
        <v>12107034</v>
      </c>
      <c r="I137" s="37">
        <f>H137</f>
        <v>12107034</v>
      </c>
    </row>
    <row r="138" spans="1:9" hidden="1" x14ac:dyDescent="0.2">
      <c r="A138" s="191" t="s">
        <v>298</v>
      </c>
      <c r="B138" s="81"/>
      <c r="C138" s="192" t="s">
        <v>74</v>
      </c>
      <c r="D138" s="81" t="s">
        <v>74</v>
      </c>
      <c r="E138" s="81" t="s">
        <v>259</v>
      </c>
      <c r="F138" s="190">
        <v>612</v>
      </c>
      <c r="G138" s="37">
        <f>SUM('[1]МБУ ЖКХ'!DI38)</f>
        <v>0</v>
      </c>
      <c r="H138" s="37">
        <f>G138</f>
        <v>0</v>
      </c>
      <c r="I138" s="37">
        <f>H138</f>
        <v>0</v>
      </c>
    </row>
    <row r="139" spans="1:9" ht="38.25" x14ac:dyDescent="0.2">
      <c r="A139" s="170" t="s">
        <v>380</v>
      </c>
      <c r="B139" s="81"/>
      <c r="C139" s="188" t="s">
        <v>74</v>
      </c>
      <c r="D139" s="187" t="s">
        <v>74</v>
      </c>
      <c r="E139" s="187" t="s">
        <v>259</v>
      </c>
      <c r="F139" s="188" t="s">
        <v>219</v>
      </c>
      <c r="G139" s="32">
        <f>G140</f>
        <v>3000</v>
      </c>
      <c r="H139" s="32">
        <f>H140</f>
        <v>0</v>
      </c>
      <c r="I139" s="32">
        <f>I140</f>
        <v>0</v>
      </c>
    </row>
    <row r="140" spans="1:9" ht="38.25" x14ac:dyDescent="0.2">
      <c r="A140" s="44" t="s">
        <v>380</v>
      </c>
      <c r="B140" s="81"/>
      <c r="C140" s="192" t="s">
        <v>74</v>
      </c>
      <c r="D140" s="81" t="s">
        <v>74</v>
      </c>
      <c r="E140" s="81" t="s">
        <v>259</v>
      </c>
      <c r="F140" s="190">
        <v>610</v>
      </c>
      <c r="G140" s="37">
        <f>'[1]МБУ ЖКХ'!CL68</f>
        <v>3000</v>
      </c>
      <c r="H140" s="37">
        <v>0</v>
      </c>
      <c r="I140" s="37">
        <v>0</v>
      </c>
    </row>
    <row r="141" spans="1:9" ht="38.25" x14ac:dyDescent="0.2">
      <c r="A141" s="184" t="s">
        <v>727</v>
      </c>
      <c r="B141" s="187" t="s">
        <v>134</v>
      </c>
      <c r="C141" s="188" t="s">
        <v>75</v>
      </c>
      <c r="D141" s="187" t="s">
        <v>114</v>
      </c>
      <c r="E141" s="187"/>
      <c r="F141" s="189"/>
      <c r="G141" s="32">
        <f>SUM(G142,G155,G176,G178,G180,G81,G82)</f>
        <v>931938457.04674995</v>
      </c>
      <c r="H141" s="32">
        <f>SUM(H142,H155,H176,H178,H180)</f>
        <v>917199229.4831742</v>
      </c>
      <c r="I141" s="32">
        <f>SUM(I142,I155,I176,I178,I180)</f>
        <v>963539397.96317422</v>
      </c>
    </row>
    <row r="142" spans="1:9" x14ac:dyDescent="0.2">
      <c r="A142" s="184" t="s">
        <v>730</v>
      </c>
      <c r="B142" s="187"/>
      <c r="C142" s="188" t="s">
        <v>75</v>
      </c>
      <c r="D142" s="187" t="s">
        <v>66</v>
      </c>
      <c r="E142" s="187"/>
      <c r="F142" s="189"/>
      <c r="G142" s="32">
        <f>SUM(G143,G145,G148,G153,G81)</f>
        <v>246751934.63634598</v>
      </c>
      <c r="H142" s="32">
        <f>SUM(H143,H145,H148,H153)</f>
        <v>235659054.50234598</v>
      </c>
      <c r="I142" s="32">
        <f>SUM(I143,I145,I148,I153)</f>
        <v>227018041.50234598</v>
      </c>
    </row>
    <row r="143" spans="1:9" ht="38.25" x14ac:dyDescent="0.2">
      <c r="A143" s="184" t="s">
        <v>594</v>
      </c>
      <c r="B143" s="187" t="s">
        <v>134</v>
      </c>
      <c r="C143" s="188" t="s">
        <v>75</v>
      </c>
      <c r="D143" s="187" t="s">
        <v>66</v>
      </c>
      <c r="E143" s="187" t="s">
        <v>384</v>
      </c>
      <c r="F143" s="188" t="s">
        <v>219</v>
      </c>
      <c r="G143" s="32">
        <f>G144</f>
        <v>308900</v>
      </c>
      <c r="H143" s="32">
        <f>H144</f>
        <v>404900</v>
      </c>
      <c r="I143" s="32">
        <f>I144</f>
        <v>0</v>
      </c>
    </row>
    <row r="144" spans="1:9" ht="38.25" x14ac:dyDescent="0.2">
      <c r="A144" s="191" t="s">
        <v>594</v>
      </c>
      <c r="B144" s="81" t="s">
        <v>134</v>
      </c>
      <c r="C144" s="192" t="s">
        <v>75</v>
      </c>
      <c r="D144" s="81" t="s">
        <v>66</v>
      </c>
      <c r="E144" s="81" t="s">
        <v>384</v>
      </c>
      <c r="F144" s="192" t="s">
        <v>275</v>
      </c>
      <c r="G144" s="37">
        <f>SUM('[1]Ясли сады'!ED24,'[1]Ясли сады'!ES24:EU24,'[1]Ясли сады'!FV24)</f>
        <v>308900</v>
      </c>
      <c r="H144" s="37">
        <f>SUM('[1]Муниц программа прил №6'!J87,'[1]Муниц программа прил №6'!J152,'[1]Муниц программа прил №6'!J197,'[1]Муниц программа прил №6'!J269)</f>
        <v>404900</v>
      </c>
      <c r="I144" s="37">
        <v>0</v>
      </c>
    </row>
    <row r="145" spans="1:9" ht="25.5" x14ac:dyDescent="0.2">
      <c r="A145" s="184" t="s">
        <v>728</v>
      </c>
      <c r="B145" s="187"/>
      <c r="C145" s="188" t="s">
        <v>75</v>
      </c>
      <c r="D145" s="187" t="s">
        <v>66</v>
      </c>
      <c r="E145" s="187" t="s">
        <v>274</v>
      </c>
      <c r="F145" s="188" t="s">
        <v>219</v>
      </c>
      <c r="G145" s="32">
        <f>SUM(G146:G147)</f>
        <v>155553000.10472795</v>
      </c>
      <c r="H145" s="32">
        <f>SUM(H146:H147)</f>
        <v>154589562.10472795</v>
      </c>
      <c r="I145" s="32">
        <f>SUM(I146:I147)</f>
        <v>154589562.10472795</v>
      </c>
    </row>
    <row r="146" spans="1:9" ht="25.5" x14ac:dyDescent="0.2">
      <c r="A146" s="191" t="s">
        <v>329</v>
      </c>
      <c r="B146" s="81"/>
      <c r="C146" s="192" t="s">
        <v>75</v>
      </c>
      <c r="D146" s="81" t="s">
        <v>66</v>
      </c>
      <c r="E146" s="81" t="s">
        <v>274</v>
      </c>
      <c r="F146" s="192" t="s">
        <v>157</v>
      </c>
      <c r="G146" s="37">
        <f>SUM('[1]Ясли сады'!DJ24,'[1]Ясли сады'!DL24:DM24,'[1]Ясли сады'!DR24,'[1]Ясли сады'!EF24)</f>
        <v>148571951.90472797</v>
      </c>
      <c r="H146" s="37">
        <f>G146</f>
        <v>148571951.90472797</v>
      </c>
      <c r="I146" s="37">
        <f t="shared" ref="I146:I149" si="10">H146</f>
        <v>148571951.90472797</v>
      </c>
    </row>
    <row r="147" spans="1:9" ht="25.5" x14ac:dyDescent="0.2">
      <c r="A147" s="191" t="s">
        <v>330</v>
      </c>
      <c r="B147" s="81"/>
      <c r="C147" s="192" t="s">
        <v>75</v>
      </c>
      <c r="D147" s="81" t="s">
        <v>66</v>
      </c>
      <c r="E147" s="81" t="s">
        <v>274</v>
      </c>
      <c r="F147" s="192" t="s">
        <v>275</v>
      </c>
      <c r="G147" s="37">
        <f>SUM('[1]Ясли сады'!DO24:DP24,'[1]Ясли сады'!ER24,'[1]Ясли сады'!FT24:FU24,'[1]Ясли сады'!GE24)</f>
        <v>6981048.1999999993</v>
      </c>
      <c r="H147" s="37">
        <f>G147-963438</f>
        <v>6017610.1999999993</v>
      </c>
      <c r="I147" s="37">
        <f t="shared" si="10"/>
        <v>6017610.1999999993</v>
      </c>
    </row>
    <row r="148" spans="1:9" ht="25.5" x14ac:dyDescent="0.2">
      <c r="A148" s="186" t="s">
        <v>729</v>
      </c>
      <c r="B148" s="187"/>
      <c r="C148" s="188" t="s">
        <v>75</v>
      </c>
      <c r="D148" s="187" t="s">
        <v>66</v>
      </c>
      <c r="E148" s="187" t="s">
        <v>260</v>
      </c>
      <c r="F148" s="188" t="s">
        <v>219</v>
      </c>
      <c r="G148" s="32">
        <f>SUM(G149:G152)</f>
        <v>89794034.531618014</v>
      </c>
      <c r="H148" s="32">
        <f>SUM(H149:H152)</f>
        <v>80664592.397618011</v>
      </c>
      <c r="I148" s="32">
        <f>SUM(I149:I152)</f>
        <v>72428479.397618011</v>
      </c>
    </row>
    <row r="149" spans="1:9" ht="25.5" x14ac:dyDescent="0.2">
      <c r="A149" s="191" t="s">
        <v>329</v>
      </c>
      <c r="B149" s="81"/>
      <c r="C149" s="192" t="s">
        <v>75</v>
      </c>
      <c r="D149" s="81" t="s">
        <v>66</v>
      </c>
      <c r="E149" s="81" t="s">
        <v>260</v>
      </c>
      <c r="F149" s="190">
        <v>110</v>
      </c>
      <c r="G149" s="37">
        <f>SUM('[1]Ясли сады'!DK24,'[1]Ясли сады'!DN24)</f>
        <v>57198746.186568007</v>
      </c>
      <c r="H149" s="52">
        <f>G149</f>
        <v>57198746.186568007</v>
      </c>
      <c r="I149" s="37">
        <f t="shared" si="10"/>
        <v>57198746.186568007</v>
      </c>
    </row>
    <row r="150" spans="1:9" ht="25.5" x14ac:dyDescent="0.2">
      <c r="A150" s="191" t="s">
        <v>330</v>
      </c>
      <c r="B150" s="81"/>
      <c r="C150" s="192" t="s">
        <v>75</v>
      </c>
      <c r="D150" s="81" t="s">
        <v>66</v>
      </c>
      <c r="E150" s="81" t="s">
        <v>260</v>
      </c>
      <c r="F150" s="190">
        <v>240</v>
      </c>
      <c r="G150" s="37">
        <f>SUM('[1]Ясли сады'!DQ24,'[1]Ясли сады'!DS24:DW24,'[1]Ясли сады'!DY24:EC24,'[1]Ясли сады'!EE24,'[1]Ясли сады'!EG24:EQ24,'[1]Ясли сады'!EV24:FA24,'[1]Ясли сады'!FS24,'[1]Ясли сады'!FX24:GD24,'[1]Ясли сады'!GF24:GK24)+21312</f>
        <v>32423257.134000003</v>
      </c>
      <c r="H150" s="52">
        <v>23293815</v>
      </c>
      <c r="I150" s="37">
        <v>15057702</v>
      </c>
    </row>
    <row r="151" spans="1:9" ht="25.5" hidden="1" x14ac:dyDescent="0.2">
      <c r="A151" s="191" t="s">
        <v>331</v>
      </c>
      <c r="B151" s="81"/>
      <c r="C151" s="192" t="s">
        <v>75</v>
      </c>
      <c r="D151" s="81" t="s">
        <v>66</v>
      </c>
      <c r="E151" s="81" t="s">
        <v>260</v>
      </c>
      <c r="F151" s="190">
        <v>400</v>
      </c>
      <c r="G151" s="37">
        <f>SUM('[1]Ясли сады'!FW24)</f>
        <v>0</v>
      </c>
      <c r="H151" s="37">
        <f>G151</f>
        <v>0</v>
      </c>
      <c r="I151" s="37">
        <f>H151</f>
        <v>0</v>
      </c>
    </row>
    <row r="152" spans="1:9" x14ac:dyDescent="0.2">
      <c r="A152" s="191" t="s">
        <v>336</v>
      </c>
      <c r="B152" s="81"/>
      <c r="C152" s="192" t="s">
        <v>75</v>
      </c>
      <c r="D152" s="81" t="s">
        <v>66</v>
      </c>
      <c r="E152" s="81" t="s">
        <v>260</v>
      </c>
      <c r="F152" s="190">
        <v>850</v>
      </c>
      <c r="G152" s="37">
        <f>SUM('[1]Ясли сады'!FH24:FP24,'[1]Ясли сады'!FR24)</f>
        <v>172031.21104999998</v>
      </c>
      <c r="H152" s="37">
        <f>G152</f>
        <v>172031.21104999998</v>
      </c>
      <c r="I152" s="37">
        <f>H152</f>
        <v>172031.21104999998</v>
      </c>
    </row>
    <row r="153" spans="1:9" ht="38.25" x14ac:dyDescent="0.2">
      <c r="A153" s="184" t="s">
        <v>673</v>
      </c>
      <c r="B153" s="81"/>
      <c r="C153" s="188" t="s">
        <v>75</v>
      </c>
      <c r="D153" s="187" t="s">
        <v>66</v>
      </c>
      <c r="E153" s="187" t="s">
        <v>646</v>
      </c>
      <c r="F153" s="188" t="s">
        <v>219</v>
      </c>
      <c r="G153" s="32">
        <f>G154</f>
        <v>1000000</v>
      </c>
      <c r="H153" s="32">
        <f>H154</f>
        <v>0</v>
      </c>
      <c r="I153" s="32">
        <f>I154</f>
        <v>0</v>
      </c>
    </row>
    <row r="154" spans="1:9" ht="25.5" x14ac:dyDescent="0.2">
      <c r="A154" s="191" t="s">
        <v>673</v>
      </c>
      <c r="B154" s="81"/>
      <c r="C154" s="192" t="s">
        <v>75</v>
      </c>
      <c r="D154" s="81" t="s">
        <v>66</v>
      </c>
      <c r="E154" s="81" t="s">
        <v>646</v>
      </c>
      <c r="F154" s="190">
        <v>240</v>
      </c>
      <c r="G154" s="37">
        <f>SUM('[1]Ясли сады'!DX11)</f>
        <v>1000000</v>
      </c>
      <c r="H154" s="52">
        <v>0</v>
      </c>
      <c r="I154" s="37">
        <v>0</v>
      </c>
    </row>
    <row r="155" spans="1:9" x14ac:dyDescent="0.2">
      <c r="A155" s="186" t="s">
        <v>140</v>
      </c>
      <c r="B155" s="187" t="s">
        <v>134</v>
      </c>
      <c r="C155" s="188" t="s">
        <v>75</v>
      </c>
      <c r="D155" s="187" t="s">
        <v>67</v>
      </c>
      <c r="E155" s="187"/>
      <c r="F155" s="189"/>
      <c r="G155" s="32">
        <f>SUM(G156,G158,G163,G165,G167,G172,G174,G161)</f>
        <v>663865062.46835387</v>
      </c>
      <c r="H155" s="32">
        <f>SUM(H156,H158,H163,H165,H167,H172,H174,H161)</f>
        <v>662050623.28877819</v>
      </c>
      <c r="I155" s="32">
        <f>SUM(I156,I158,I163,I165,I167,I172,I174,I161)</f>
        <v>717031804.7687782</v>
      </c>
    </row>
    <row r="156" spans="1:9" ht="38.25" x14ac:dyDescent="0.2">
      <c r="A156" s="170" t="s">
        <v>380</v>
      </c>
      <c r="B156" s="187" t="s">
        <v>134</v>
      </c>
      <c r="C156" s="188" t="s">
        <v>75</v>
      </c>
      <c r="D156" s="187" t="s">
        <v>67</v>
      </c>
      <c r="E156" s="187" t="s">
        <v>385</v>
      </c>
      <c r="F156" s="188" t="s">
        <v>219</v>
      </c>
      <c r="G156" s="32">
        <f>SUM(G157)</f>
        <v>804500</v>
      </c>
      <c r="H156" s="32">
        <f>SUM(H157)</f>
        <v>0</v>
      </c>
      <c r="I156" s="32">
        <f>SUM(I157)</f>
        <v>0</v>
      </c>
    </row>
    <row r="157" spans="1:9" ht="38.25" x14ac:dyDescent="0.2">
      <c r="A157" s="191" t="s">
        <v>594</v>
      </c>
      <c r="B157" s="81" t="s">
        <v>134</v>
      </c>
      <c r="C157" s="192" t="s">
        <v>75</v>
      </c>
      <c r="D157" s="81" t="s">
        <v>67</v>
      </c>
      <c r="E157" s="81" t="s">
        <v>385</v>
      </c>
      <c r="F157" s="190">
        <v>240</v>
      </c>
      <c r="G157" s="37">
        <f>SUM([1]Школы!FW43,[1]Школы!GN43,[1]Школы!GO43,[1]Школы!GP43,[1]Школы!GT43,[1]Школы!GU43,[1]Школы!GV43,[1]Школы!HP43)</f>
        <v>804500</v>
      </c>
      <c r="H157" s="37">
        <v>0</v>
      </c>
      <c r="I157" s="37">
        <f>H157</f>
        <v>0</v>
      </c>
    </row>
    <row r="158" spans="1:9" ht="25.5" x14ac:dyDescent="0.2">
      <c r="A158" s="184" t="s">
        <v>658</v>
      </c>
      <c r="B158" s="187" t="s">
        <v>134</v>
      </c>
      <c r="C158" s="188" t="s">
        <v>75</v>
      </c>
      <c r="D158" s="187" t="s">
        <v>67</v>
      </c>
      <c r="E158" s="81" t="s">
        <v>276</v>
      </c>
      <c r="F158" s="188" t="s">
        <v>219</v>
      </c>
      <c r="G158" s="32">
        <f>SUM(G159:G160)</f>
        <v>547571000.31676006</v>
      </c>
      <c r="H158" s="32">
        <f>SUM(H159:H160)</f>
        <v>547571000.31676006</v>
      </c>
      <c r="I158" s="32">
        <f>SUM(I159:I160)</f>
        <v>547571000.31676006</v>
      </c>
    </row>
    <row r="159" spans="1:9" ht="25.5" x14ac:dyDescent="0.2">
      <c r="A159" s="191" t="s">
        <v>329</v>
      </c>
      <c r="B159" s="81"/>
      <c r="C159" s="192" t="s">
        <v>75</v>
      </c>
      <c r="D159" s="81" t="s">
        <v>67</v>
      </c>
      <c r="E159" s="81" t="s">
        <v>276</v>
      </c>
      <c r="F159" s="190">
        <v>110</v>
      </c>
      <c r="G159" s="37">
        <f>SUM([1]Школы!EW43,[1]Школы!FC43)</f>
        <v>536001138.23676002</v>
      </c>
      <c r="H159" s="52">
        <f>G159</f>
        <v>536001138.23676002</v>
      </c>
      <c r="I159" s="52">
        <f>H159</f>
        <v>536001138.23676002</v>
      </c>
    </row>
    <row r="160" spans="1:9" ht="25.5" x14ac:dyDescent="0.2">
      <c r="A160" s="191" t="s">
        <v>330</v>
      </c>
      <c r="B160" s="81"/>
      <c r="C160" s="192" t="s">
        <v>75</v>
      </c>
      <c r="D160" s="81" t="s">
        <v>67</v>
      </c>
      <c r="E160" s="81" t="s">
        <v>276</v>
      </c>
      <c r="F160" s="190">
        <v>240</v>
      </c>
      <c r="G160" s="37">
        <f>SUM([1]Школы!GL43)</f>
        <v>11569862.080000002</v>
      </c>
      <c r="H160" s="52">
        <f>G160</f>
        <v>11569862.080000002</v>
      </c>
      <c r="I160" s="52">
        <f>H160</f>
        <v>11569862.080000002</v>
      </c>
    </row>
    <row r="161" spans="1:9" x14ac:dyDescent="0.2">
      <c r="A161" s="186" t="s">
        <v>742</v>
      </c>
      <c r="B161" s="187"/>
      <c r="C161" s="188" t="s">
        <v>75</v>
      </c>
      <c r="D161" s="187" t="s">
        <v>67</v>
      </c>
      <c r="E161" s="187" t="s">
        <v>276</v>
      </c>
      <c r="F161" s="188" t="s">
        <v>219</v>
      </c>
      <c r="G161" s="32">
        <f>G162</f>
        <v>1879272.9479999999</v>
      </c>
      <c r="H161" s="32">
        <f>H162</f>
        <v>1879273</v>
      </c>
      <c r="I161" s="32">
        <f>I162</f>
        <v>2189165</v>
      </c>
    </row>
    <row r="162" spans="1:9" x14ac:dyDescent="0.2">
      <c r="A162" s="191" t="s">
        <v>741</v>
      </c>
      <c r="B162" s="81"/>
      <c r="C162" s="192" t="s">
        <v>75</v>
      </c>
      <c r="D162" s="81" t="s">
        <v>67</v>
      </c>
      <c r="E162" s="81" t="s">
        <v>276</v>
      </c>
      <c r="F162" s="190">
        <v>110</v>
      </c>
      <c r="G162" s="37">
        <f>SUM([1]Школы!EX43,[1]Школы!FD43)</f>
        <v>1879272.9479999999</v>
      </c>
      <c r="H162" s="52">
        <f>'[1]Доходы прил №1'!E54*1000</f>
        <v>1879273</v>
      </c>
      <c r="I162" s="52">
        <f>'[1]Доходы прил №1'!G54*1000</f>
        <v>2189165</v>
      </c>
    </row>
    <row r="163" spans="1:9" ht="25.5" x14ac:dyDescent="0.2">
      <c r="A163" s="184" t="s">
        <v>731</v>
      </c>
      <c r="B163" s="81"/>
      <c r="C163" s="188" t="s">
        <v>75</v>
      </c>
      <c r="D163" s="187" t="s">
        <v>67</v>
      </c>
      <c r="E163" s="187" t="s">
        <v>659</v>
      </c>
      <c r="F163" s="188" t="s">
        <v>219</v>
      </c>
      <c r="G163" s="32">
        <f>G164</f>
        <v>34445689.865999997</v>
      </c>
      <c r="H163" s="32">
        <f>H164</f>
        <v>34445690</v>
      </c>
      <c r="I163" s="32">
        <f>I164</f>
        <v>34445690</v>
      </c>
    </row>
    <row r="164" spans="1:9" ht="25.5" x14ac:dyDescent="0.2">
      <c r="A164" s="191" t="s">
        <v>661</v>
      </c>
      <c r="B164" s="81"/>
      <c r="C164" s="192" t="s">
        <v>75</v>
      </c>
      <c r="D164" s="81" t="s">
        <v>67</v>
      </c>
      <c r="E164" s="81" t="s">
        <v>659</v>
      </c>
      <c r="F164" s="190">
        <v>110</v>
      </c>
      <c r="G164" s="37">
        <f>SUM([1]Школы!EZ43,[1]Школы!FF43)</f>
        <v>34445689.865999997</v>
      </c>
      <c r="H164" s="52">
        <f>'[1]Доходы прил №1'!F53*1000</f>
        <v>34445690</v>
      </c>
      <c r="I164" s="52">
        <f>'[1]Доходы прил №1'!G53*1000</f>
        <v>34445690</v>
      </c>
    </row>
    <row r="165" spans="1:9" x14ac:dyDescent="0.2">
      <c r="A165" s="184" t="s">
        <v>732</v>
      </c>
      <c r="B165" s="187"/>
      <c r="C165" s="188" t="s">
        <v>75</v>
      </c>
      <c r="D165" s="187" t="s">
        <v>67</v>
      </c>
      <c r="E165" s="187" t="s">
        <v>671</v>
      </c>
      <c r="F165" s="188" t="s">
        <v>219</v>
      </c>
      <c r="G165" s="32">
        <f>G166</f>
        <v>32558447.75757575</v>
      </c>
      <c r="H165" s="32">
        <f>H166</f>
        <v>32232863.280000001</v>
      </c>
      <c r="I165" s="32">
        <f>I166</f>
        <v>32232863.280000001</v>
      </c>
    </row>
    <row r="166" spans="1:9" ht="38.25" x14ac:dyDescent="0.2">
      <c r="A166" s="191" t="s">
        <v>660</v>
      </c>
      <c r="B166" s="81"/>
      <c r="C166" s="192" t="s">
        <v>75</v>
      </c>
      <c r="D166" s="81" t="s">
        <v>67</v>
      </c>
      <c r="E166" s="81" t="s">
        <v>671</v>
      </c>
      <c r="F166" s="190">
        <v>240</v>
      </c>
      <c r="G166" s="37">
        <f>SUM([1]Школы!HS43)</f>
        <v>32558447.75757575</v>
      </c>
      <c r="H166" s="37">
        <f>'[1]Доходы прил №1'!F37*1000</f>
        <v>32232863.280000001</v>
      </c>
      <c r="I166" s="37">
        <f>'[1]Доходы прил №1'!G37*1000</f>
        <v>32232863.280000001</v>
      </c>
    </row>
    <row r="167" spans="1:9" ht="25.5" x14ac:dyDescent="0.2">
      <c r="A167" s="184" t="s">
        <v>662</v>
      </c>
      <c r="B167" s="187"/>
      <c r="C167" s="188" t="s">
        <v>75</v>
      </c>
      <c r="D167" s="187" t="s">
        <v>67</v>
      </c>
      <c r="E167" s="187" t="s">
        <v>261</v>
      </c>
      <c r="F167" s="188" t="s">
        <v>219</v>
      </c>
      <c r="G167" s="32">
        <f>SUM(G168:G171)</f>
        <v>45642713.398199998</v>
      </c>
      <c r="H167" s="32">
        <f>SUM(H168:H171)</f>
        <v>23187305.880199999</v>
      </c>
      <c r="I167" s="32">
        <f>SUM(I168:I171)</f>
        <v>19356805.880199999</v>
      </c>
    </row>
    <row r="168" spans="1:9" ht="25.5" x14ac:dyDescent="0.2">
      <c r="A168" s="191" t="s">
        <v>662</v>
      </c>
      <c r="B168" s="81"/>
      <c r="C168" s="192" t="s">
        <v>75</v>
      </c>
      <c r="D168" s="81" t="s">
        <v>67</v>
      </c>
      <c r="E168" s="81" t="s">
        <v>261</v>
      </c>
      <c r="F168" s="190">
        <v>110</v>
      </c>
      <c r="G168" s="37">
        <f>SUM([1]Школы!EY43,[1]Школы!FB43,[1]Школы!FE43,[1]Школы!FK43,[1]Школы!FY43)</f>
        <v>18138479.5152</v>
      </c>
      <c r="H168" s="52">
        <f t="shared" ref="H168:I171" si="11">G168</f>
        <v>18138479.5152</v>
      </c>
      <c r="I168" s="52">
        <f t="shared" si="11"/>
        <v>18138479.5152</v>
      </c>
    </row>
    <row r="169" spans="1:9" ht="25.5" x14ac:dyDescent="0.2">
      <c r="A169" s="191" t="s">
        <v>330</v>
      </c>
      <c r="B169" s="81"/>
      <c r="C169" s="192" t="s">
        <v>75</v>
      </c>
      <c r="D169" s="81" t="s">
        <v>67</v>
      </c>
      <c r="E169" s="81" t="s">
        <v>261</v>
      </c>
      <c r="F169" s="190">
        <v>240</v>
      </c>
      <c r="G169" s="37">
        <f>SUM([1]Школы!FI43:FJ43,[1]Школы!FL43:FP43,[1]Школы!FR43:FV43,[1]Школы!FX43,[1]Школы!FZ43:GC43,[1]Школы!GE43:GK43,[1]Школы!GM43,[1]Школы!GQ43:GU43,[1]Школы!HN43,[1]Школы!HR43,[1]Школы!HV43:IG43)</f>
        <v>26285907.517999999</v>
      </c>
      <c r="H169" s="52">
        <v>3830500</v>
      </c>
      <c r="I169" s="52">
        <v>0</v>
      </c>
    </row>
    <row r="170" spans="1:9" ht="25.5" x14ac:dyDescent="0.2">
      <c r="A170" s="191" t="s">
        <v>331</v>
      </c>
      <c r="B170" s="81"/>
      <c r="C170" s="192" t="s">
        <v>75</v>
      </c>
      <c r="D170" s="81" t="s">
        <v>67</v>
      </c>
      <c r="E170" s="81" t="s">
        <v>261</v>
      </c>
      <c r="F170" s="190">
        <v>400</v>
      </c>
      <c r="G170" s="37">
        <f>SUM([1]Школы!HQ43)</f>
        <v>0</v>
      </c>
      <c r="H170" s="37">
        <f t="shared" si="11"/>
        <v>0</v>
      </c>
      <c r="I170" s="37">
        <f t="shared" si="11"/>
        <v>0</v>
      </c>
    </row>
    <row r="171" spans="1:9" x14ac:dyDescent="0.2">
      <c r="A171" s="191" t="s">
        <v>336</v>
      </c>
      <c r="B171" s="81"/>
      <c r="C171" s="192" t="s">
        <v>75</v>
      </c>
      <c r="D171" s="81" t="s">
        <v>67</v>
      </c>
      <c r="E171" s="81" t="s">
        <v>261</v>
      </c>
      <c r="F171" s="190">
        <v>850</v>
      </c>
      <c r="G171" s="37">
        <f>SUM([1]Школы!HC43,[1]Школы!HD43,[1]Школы!HE43,[1]Школы!HF43,[1]Школы!HG43,[1]Школы!HH43,[1]Школы!HI43,[1]Школы!HJ43,[1]Школы!HK43,[1]Школы!HM43)</f>
        <v>1218326.365</v>
      </c>
      <c r="H171" s="37">
        <f t="shared" si="11"/>
        <v>1218326.365</v>
      </c>
      <c r="I171" s="37">
        <f t="shared" si="11"/>
        <v>1218326.365</v>
      </c>
    </row>
    <row r="172" spans="1:9" x14ac:dyDescent="0.2">
      <c r="A172" s="184" t="s">
        <v>733</v>
      </c>
      <c r="B172" s="187"/>
      <c r="C172" s="188" t="s">
        <v>75</v>
      </c>
      <c r="D172" s="187" t="s">
        <v>67</v>
      </c>
      <c r="E172" s="187" t="s">
        <v>672</v>
      </c>
      <c r="F172" s="188" t="s">
        <v>219</v>
      </c>
      <c r="G172" s="32">
        <f>G173</f>
        <v>0</v>
      </c>
      <c r="H172" s="32">
        <f>H173</f>
        <v>21771052.629999999</v>
      </c>
      <c r="I172" s="32">
        <f>I173</f>
        <v>80272842.109999999</v>
      </c>
    </row>
    <row r="173" spans="1:9" ht="25.5" x14ac:dyDescent="0.2">
      <c r="A173" s="191" t="s">
        <v>330</v>
      </c>
      <c r="B173" s="81"/>
      <c r="C173" s="192" t="s">
        <v>75</v>
      </c>
      <c r="D173" s="81" t="s">
        <v>67</v>
      </c>
      <c r="E173" s="81" t="s">
        <v>672</v>
      </c>
      <c r="F173" s="190">
        <v>240</v>
      </c>
      <c r="G173" s="37">
        <f>SUM([1]Школы!FQ43)</f>
        <v>0</v>
      </c>
      <c r="H173" s="52">
        <f>'[1]Доходы прил №1'!F40*1000</f>
        <v>21771052.629999999</v>
      </c>
      <c r="I173" s="52">
        <f>'[1]Доходы прил №1'!G40*1000</f>
        <v>80272842.109999999</v>
      </c>
    </row>
    <row r="174" spans="1:9" ht="25.5" x14ac:dyDescent="0.2">
      <c r="A174" s="184" t="s">
        <v>734</v>
      </c>
      <c r="B174" s="187"/>
      <c r="C174" s="192" t="s">
        <v>75</v>
      </c>
      <c r="D174" s="81" t="s">
        <v>67</v>
      </c>
      <c r="E174" s="81" t="s">
        <v>675</v>
      </c>
      <c r="F174" s="188" t="s">
        <v>219</v>
      </c>
      <c r="G174" s="42">
        <f>G175</f>
        <v>963438.18181818223</v>
      </c>
      <c r="H174" s="42">
        <f>H175</f>
        <v>963438.18181818223</v>
      </c>
      <c r="I174" s="42">
        <f>I175</f>
        <v>963438.18181818223</v>
      </c>
    </row>
    <row r="175" spans="1:9" ht="38.25" x14ac:dyDescent="0.2">
      <c r="A175" s="191" t="s">
        <v>674</v>
      </c>
      <c r="B175" s="81"/>
      <c r="C175" s="192" t="s">
        <v>75</v>
      </c>
      <c r="D175" s="81" t="s">
        <v>67</v>
      </c>
      <c r="E175" s="81" t="s">
        <v>675</v>
      </c>
      <c r="F175" s="190">
        <v>320</v>
      </c>
      <c r="G175" s="37">
        <f>[1]Школы!HA43</f>
        <v>963438.18181818223</v>
      </c>
      <c r="H175" s="52">
        <f>'[1]  пит уч на дом обуч прил №21'!D43</f>
        <v>963438.18181818223</v>
      </c>
      <c r="I175" s="52">
        <f>'[1]  пит уч на дом обуч прил №21'!E43</f>
        <v>963438.18181818223</v>
      </c>
    </row>
    <row r="176" spans="1:9" ht="27.75" customHeight="1" x14ac:dyDescent="0.2">
      <c r="A176" s="303" t="s">
        <v>735</v>
      </c>
      <c r="B176" s="196" t="s">
        <v>134</v>
      </c>
      <c r="C176" s="197" t="s">
        <v>75</v>
      </c>
      <c r="D176" s="196" t="s">
        <v>71</v>
      </c>
      <c r="E176" s="187" t="s">
        <v>262</v>
      </c>
      <c r="F176" s="188" t="s">
        <v>219</v>
      </c>
      <c r="G176" s="198">
        <f>G177</f>
        <v>8861239.0943999998</v>
      </c>
      <c r="H176" s="198">
        <f>H177</f>
        <v>8861239.0943999998</v>
      </c>
      <c r="I176" s="198">
        <f>I177</f>
        <v>8861239.0943999998</v>
      </c>
    </row>
    <row r="177" spans="1:9" ht="29.25" customHeight="1" x14ac:dyDescent="0.2">
      <c r="A177" s="195" t="s">
        <v>663</v>
      </c>
      <c r="B177" s="81" t="s">
        <v>134</v>
      </c>
      <c r="C177" s="192" t="s">
        <v>75</v>
      </c>
      <c r="D177" s="81" t="s">
        <v>71</v>
      </c>
      <c r="E177" s="81" t="s">
        <v>262</v>
      </c>
      <c r="F177" s="190">
        <v>110</v>
      </c>
      <c r="G177" s="37">
        <f>SUM([1]Школы!FA43,[1]Школы!FG43)</f>
        <v>8861239.0943999998</v>
      </c>
      <c r="H177" s="37">
        <f>G177</f>
        <v>8861239.0943999998</v>
      </c>
      <c r="I177" s="37">
        <f>H177</f>
        <v>8861239.0943999998</v>
      </c>
    </row>
    <row r="178" spans="1:9" ht="27.75" customHeight="1" x14ac:dyDescent="0.2">
      <c r="A178" s="195" t="s">
        <v>790</v>
      </c>
      <c r="B178" s="81"/>
      <c r="C178" s="188" t="s">
        <v>75</v>
      </c>
      <c r="D178" s="187" t="s">
        <v>75</v>
      </c>
      <c r="E178" s="187" t="s">
        <v>664</v>
      </c>
      <c r="F178" s="188" t="s">
        <v>219</v>
      </c>
      <c r="G178" s="330">
        <f>G179</f>
        <v>247099.45</v>
      </c>
      <c r="H178" s="32">
        <f>H179</f>
        <v>52416</v>
      </c>
      <c r="I178" s="32">
        <f>I179</f>
        <v>52416</v>
      </c>
    </row>
    <row r="179" spans="1:9" ht="29.25" customHeight="1" x14ac:dyDescent="0.2">
      <c r="A179" s="191" t="s">
        <v>719</v>
      </c>
      <c r="B179" s="81" t="s">
        <v>134</v>
      </c>
      <c r="C179" s="192" t="s">
        <v>75</v>
      </c>
      <c r="D179" s="81" t="s">
        <v>75</v>
      </c>
      <c r="E179" s="81" t="s">
        <v>664</v>
      </c>
      <c r="F179" s="190">
        <v>240</v>
      </c>
      <c r="G179" s="331">
        <f>SUM([1]Школы!GD43,[1]Школы!HU43)</f>
        <v>247099.45</v>
      </c>
      <c r="H179" s="52">
        <f>SUM('[1]Доходы прил №1'!F43*1000)</f>
        <v>52416</v>
      </c>
      <c r="I179" s="52">
        <f>SUM('[1]Доходы прил №1'!G43*1000)</f>
        <v>52416</v>
      </c>
    </row>
    <row r="180" spans="1:9" ht="25.5" x14ac:dyDescent="0.2">
      <c r="A180" s="184" t="s">
        <v>133</v>
      </c>
      <c r="B180" s="187" t="s">
        <v>134</v>
      </c>
      <c r="C180" s="188" t="s">
        <v>75</v>
      </c>
      <c r="D180" s="187" t="s">
        <v>72</v>
      </c>
      <c r="E180" s="65" t="s">
        <v>33</v>
      </c>
      <c r="F180" s="190"/>
      <c r="G180" s="32">
        <f>SUM(G181,G185,G187,G189)</f>
        <v>11964121.39765</v>
      </c>
      <c r="H180" s="32">
        <f>SUM(H181,H189,H185)</f>
        <v>10575896.597650001</v>
      </c>
      <c r="I180" s="32">
        <f>SUM(I181,I189,I185)</f>
        <v>10575896.597650001</v>
      </c>
    </row>
    <row r="181" spans="1:9" x14ac:dyDescent="0.2">
      <c r="A181" s="186" t="s">
        <v>125</v>
      </c>
      <c r="B181" s="81"/>
      <c r="C181" s="188" t="s">
        <v>75</v>
      </c>
      <c r="D181" s="187" t="s">
        <v>72</v>
      </c>
      <c r="E181" s="187" t="s">
        <v>251</v>
      </c>
      <c r="F181" s="188" t="s">
        <v>219</v>
      </c>
      <c r="G181" s="32">
        <f>SUM(G182:G184,G185,G187)</f>
        <v>2612400.1039399998</v>
      </c>
      <c r="H181" s="32">
        <f t="shared" ref="H181:I181" si="12">SUM(H182:H184,H185,H187)</f>
        <v>2612400.1039399998</v>
      </c>
      <c r="I181" s="32">
        <f t="shared" si="12"/>
        <v>2612400.1039399998</v>
      </c>
    </row>
    <row r="182" spans="1:9" ht="25.5" x14ac:dyDescent="0.2">
      <c r="A182" s="191" t="s">
        <v>328</v>
      </c>
      <c r="B182" s="81"/>
      <c r="C182" s="192" t="s">
        <v>75</v>
      </c>
      <c r="D182" s="81" t="s">
        <v>72</v>
      </c>
      <c r="E182" s="81" t="s">
        <v>251</v>
      </c>
      <c r="F182" s="190">
        <v>120</v>
      </c>
      <c r="G182" s="37">
        <f>SUM('[1]МКУ "УО"'!BS6:BU6,'[1]МКУ "УО"'!BY6,'[1]МКУ "УО"'!CL6)</f>
        <v>2322249.5151899997</v>
      </c>
      <c r="H182" s="52">
        <f t="shared" ref="H182:I184" si="13">G182</f>
        <v>2322249.5151899997</v>
      </c>
      <c r="I182" s="52">
        <f t="shared" si="13"/>
        <v>2322249.5151899997</v>
      </c>
    </row>
    <row r="183" spans="1:9" ht="25.5" x14ac:dyDescent="0.2">
      <c r="A183" s="191" t="s">
        <v>330</v>
      </c>
      <c r="B183" s="81"/>
      <c r="C183" s="192" t="s">
        <v>75</v>
      </c>
      <c r="D183" s="81" t="s">
        <v>72</v>
      </c>
      <c r="E183" s="81" t="s">
        <v>251</v>
      </c>
      <c r="F183" s="190">
        <v>240</v>
      </c>
      <c r="G183" s="37">
        <f>SUM('[1]МКУ "УО"'!BV6:BX6,'[1]МКУ "УО"'!BZ6:CI6,'[1]МКУ "УО"'!CK6,'[1]МКУ "УО"'!CM6:CT6,'[1]МКУ "УО"'!CW6:DD6,'[1]МКУ "УО"'!DW6,'[1]МКУ "УО"'!DZ6:EK6)</f>
        <v>154045.07345</v>
      </c>
      <c r="H183" s="52">
        <f t="shared" si="13"/>
        <v>154045.07345</v>
      </c>
      <c r="I183" s="52">
        <f t="shared" si="13"/>
        <v>154045.07345</v>
      </c>
    </row>
    <row r="184" spans="1:9" x14ac:dyDescent="0.2">
      <c r="A184" s="191" t="s">
        <v>336</v>
      </c>
      <c r="B184" s="81"/>
      <c r="C184" s="192" t="s">
        <v>75</v>
      </c>
      <c r="D184" s="81" t="s">
        <v>72</v>
      </c>
      <c r="E184" s="81" t="s">
        <v>251</v>
      </c>
      <c r="F184" s="190">
        <v>850</v>
      </c>
      <c r="G184" s="37">
        <f>SUM('[1]МКУ "УО"'!DL6:DT6,'[1]МКУ "УО"'!DV6)</f>
        <v>6105.5153</v>
      </c>
      <c r="H184" s="52">
        <f t="shared" si="13"/>
        <v>6105.5153</v>
      </c>
      <c r="I184" s="52">
        <f t="shared" si="13"/>
        <v>6105.5153</v>
      </c>
    </row>
    <row r="185" spans="1:9" ht="25.5" x14ac:dyDescent="0.2">
      <c r="A185" s="184" t="s">
        <v>743</v>
      </c>
      <c r="B185" s="187" t="s">
        <v>134</v>
      </c>
      <c r="C185" s="188" t="s">
        <v>75</v>
      </c>
      <c r="D185" s="187" t="s">
        <v>72</v>
      </c>
      <c r="E185" s="187" t="s">
        <v>749</v>
      </c>
      <c r="F185" s="188" t="s">
        <v>219</v>
      </c>
      <c r="G185" s="32">
        <f>G186</f>
        <v>80000</v>
      </c>
      <c r="H185" s="53">
        <f>H186</f>
        <v>80000</v>
      </c>
      <c r="I185" s="53">
        <f>I186</f>
        <v>80000</v>
      </c>
    </row>
    <row r="186" spans="1:9" x14ac:dyDescent="0.2">
      <c r="A186" s="191" t="s">
        <v>744</v>
      </c>
      <c r="B186" s="81"/>
      <c r="C186" s="192" t="s">
        <v>75</v>
      </c>
      <c r="D186" s="81" t="s">
        <v>72</v>
      </c>
      <c r="E186" s="81" t="s">
        <v>749</v>
      </c>
      <c r="F186" s="190">
        <v>240</v>
      </c>
      <c r="G186" s="37">
        <f>'[1]МКУ "УО"'!CV8</f>
        <v>80000</v>
      </c>
      <c r="H186" s="52">
        <f>G186</f>
        <v>80000</v>
      </c>
      <c r="I186" s="52">
        <f>H186</f>
        <v>80000</v>
      </c>
    </row>
    <row r="187" spans="1:9" ht="25.5" x14ac:dyDescent="0.2">
      <c r="A187" s="186" t="s">
        <v>791</v>
      </c>
      <c r="B187" s="187" t="s">
        <v>134</v>
      </c>
      <c r="C187" s="188" t="s">
        <v>75</v>
      </c>
      <c r="D187" s="187" t="s">
        <v>72</v>
      </c>
      <c r="E187" s="187" t="s">
        <v>792</v>
      </c>
      <c r="F187" s="188" t="s">
        <v>219</v>
      </c>
      <c r="G187" s="32">
        <f>G188</f>
        <v>50000</v>
      </c>
      <c r="H187" s="53">
        <f>H188</f>
        <v>50000</v>
      </c>
      <c r="I187" s="53">
        <f>I188</f>
        <v>50000</v>
      </c>
    </row>
    <row r="188" spans="1:9" ht="25.5" x14ac:dyDescent="0.2">
      <c r="A188" s="191" t="s">
        <v>791</v>
      </c>
      <c r="B188" s="81"/>
      <c r="C188" s="192" t="s">
        <v>75</v>
      </c>
      <c r="D188" s="81" t="s">
        <v>72</v>
      </c>
      <c r="E188" s="81" t="s">
        <v>792</v>
      </c>
      <c r="F188" s="190">
        <v>240</v>
      </c>
      <c r="G188" s="37">
        <f>'[1]МКУ "УО"'!CV6</f>
        <v>50000</v>
      </c>
      <c r="H188" s="52">
        <f>G188</f>
        <v>50000</v>
      </c>
      <c r="I188" s="52">
        <f>H188</f>
        <v>50000</v>
      </c>
    </row>
    <row r="189" spans="1:9" ht="25.5" x14ac:dyDescent="0.2">
      <c r="A189" s="33" t="s">
        <v>767</v>
      </c>
      <c r="B189" s="187" t="s">
        <v>134</v>
      </c>
      <c r="C189" s="188" t="s">
        <v>75</v>
      </c>
      <c r="D189" s="187" t="s">
        <v>72</v>
      </c>
      <c r="E189" s="187" t="s">
        <v>263</v>
      </c>
      <c r="F189" s="188" t="s">
        <v>219</v>
      </c>
      <c r="G189" s="32">
        <f>SUM(G190:G196)</f>
        <v>9221721.2937100008</v>
      </c>
      <c r="H189" s="32">
        <f>SUM(H190:H196:H196)</f>
        <v>7883496.493710001</v>
      </c>
      <c r="I189" s="32">
        <f>SUM(I190:I196:I196)</f>
        <v>7883496.493710001</v>
      </c>
    </row>
    <row r="190" spans="1:9" ht="25.5" x14ac:dyDescent="0.2">
      <c r="A190" s="191" t="s">
        <v>329</v>
      </c>
      <c r="B190" s="81" t="s">
        <v>33</v>
      </c>
      <c r="C190" s="192" t="s">
        <v>75</v>
      </c>
      <c r="D190" s="81" t="s">
        <v>72</v>
      </c>
      <c r="E190" s="81" t="s">
        <v>263</v>
      </c>
      <c r="F190" s="190">
        <v>110</v>
      </c>
      <c r="G190" s="37">
        <f>SUM('[1]МКУ "ИМЦ УО"'!BS7:BU7,'[1]МКУ "ИМЦ УО"'!BY7,'[1]МКУ "ИМЦ УО"'!CL7)</f>
        <v>7143351.493710001</v>
      </c>
      <c r="H190" s="52">
        <f>G190</f>
        <v>7143351.493710001</v>
      </c>
      <c r="I190" s="52">
        <f>H190</f>
        <v>7143351.493710001</v>
      </c>
    </row>
    <row r="191" spans="1:9" ht="25.5" x14ac:dyDescent="0.2">
      <c r="A191" s="191" t="s">
        <v>330</v>
      </c>
      <c r="B191" s="81"/>
      <c r="C191" s="192" t="s">
        <v>75</v>
      </c>
      <c r="D191" s="81" t="s">
        <v>72</v>
      </c>
      <c r="E191" s="81" t="s">
        <v>263</v>
      </c>
      <c r="F191" s="190">
        <v>240</v>
      </c>
      <c r="G191" s="37">
        <f>SUM('[1]МКУ "ИМЦ УО"'!BV7:BX7,'[1]МКУ "ИМЦ УО"'!BZ7:CI7,'[1]МКУ "ИМЦ УО"'!CK7,'[1]МКУ "ИМЦ УО"'!CM7:CS7,'[1]МКУ "ИМЦ УО"'!CV7:DC7,'[1]МКУ "ИМЦ УО"'!DU7,'[1]МКУ "ИМЦ УО"'!DX7:EJ7)</f>
        <v>1213369.8</v>
      </c>
      <c r="H191" s="52">
        <v>325145</v>
      </c>
      <c r="I191" s="52">
        <f>H191</f>
        <v>325145</v>
      </c>
    </row>
    <row r="192" spans="1:9" x14ac:dyDescent="0.2">
      <c r="A192" s="191" t="s">
        <v>761</v>
      </c>
      <c r="B192" s="81"/>
      <c r="C192" s="192" t="s">
        <v>75</v>
      </c>
      <c r="D192" s="81" t="s">
        <v>72</v>
      </c>
      <c r="E192" s="81" t="s">
        <v>263</v>
      </c>
      <c r="F192" s="190">
        <v>110</v>
      </c>
      <c r="G192" s="37">
        <f>SUM('[1]МКУ "ИМЦ УО"'!BT8,'[1]МКУ "ИМЦ УО"'!BY8,'[1]МКУ "ИМЦ УО"'!CL8)</f>
        <v>0</v>
      </c>
      <c r="H192" s="52">
        <v>0</v>
      </c>
      <c r="I192" s="52">
        <v>0</v>
      </c>
    </row>
    <row r="193" spans="1:9" x14ac:dyDescent="0.2">
      <c r="A193" s="191" t="s">
        <v>761</v>
      </c>
      <c r="B193" s="81"/>
      <c r="C193" s="192" t="s">
        <v>75</v>
      </c>
      <c r="D193" s="81" t="s">
        <v>72</v>
      </c>
      <c r="E193" s="81" t="s">
        <v>263</v>
      </c>
      <c r="F193" s="190">
        <v>240</v>
      </c>
      <c r="G193" s="37">
        <f>SUM('[1]МКУ "ИМЦ УО"'!BV8:BX8,'[1]МКУ "ИМЦ УО"'!BZ8:CI8,'[1]МКУ "ИМЦ УО"'!CK8,'[1]МКУ "ИМЦ УО"'!CM8:CS8,'[1]МКУ "ИМЦ УО"'!CV8:DC8,'[1]МКУ "ИМЦ УО"'!DU8,'[1]МКУ "ИМЦ УО"'!DX8:EJ8)</f>
        <v>450000</v>
      </c>
      <c r="H193" s="52">
        <v>0</v>
      </c>
      <c r="I193" s="52">
        <v>0</v>
      </c>
    </row>
    <row r="194" spans="1:9" x14ac:dyDescent="0.2">
      <c r="A194" s="191" t="s">
        <v>676</v>
      </c>
      <c r="B194" s="81"/>
      <c r="C194" s="192" t="s">
        <v>75</v>
      </c>
      <c r="D194" s="81" t="s">
        <v>72</v>
      </c>
      <c r="E194" s="81" t="s">
        <v>677</v>
      </c>
      <c r="F194" s="190">
        <v>350</v>
      </c>
      <c r="G194" s="37">
        <f>SUM('[1]МКУ "ИМЦ УО"'!DS7)</f>
        <v>395000</v>
      </c>
      <c r="H194" s="52">
        <f t="shared" ref="H194:I196" si="14">G194</f>
        <v>395000</v>
      </c>
      <c r="I194" s="52">
        <f t="shared" si="14"/>
        <v>395000</v>
      </c>
    </row>
    <row r="195" spans="1:9" ht="25.5" hidden="1" x14ac:dyDescent="0.2">
      <c r="A195" s="191" t="s">
        <v>331</v>
      </c>
      <c r="B195" s="81"/>
      <c r="C195" s="192" t="s">
        <v>75</v>
      </c>
      <c r="D195" s="81" t="s">
        <v>72</v>
      </c>
      <c r="E195" s="81" t="s">
        <v>263</v>
      </c>
      <c r="F195" s="190">
        <v>410</v>
      </c>
      <c r="G195" s="37">
        <f>SUM('[1]МКУ "ИМЦ УО"'!DW7)</f>
        <v>0</v>
      </c>
      <c r="H195" s="52">
        <f t="shared" si="14"/>
        <v>0</v>
      </c>
      <c r="I195" s="52">
        <f t="shared" si="14"/>
        <v>0</v>
      </c>
    </row>
    <row r="196" spans="1:9" x14ac:dyDescent="0.2">
      <c r="A196" s="191" t="s">
        <v>336</v>
      </c>
      <c r="B196" s="81"/>
      <c r="C196" s="192" t="s">
        <v>75</v>
      </c>
      <c r="D196" s="81" t="s">
        <v>72</v>
      </c>
      <c r="E196" s="81" t="s">
        <v>263</v>
      </c>
      <c r="F196" s="190">
        <v>850</v>
      </c>
      <c r="G196" s="37">
        <f>SUM('[1]МКУ "ИМЦ УО"'!DJ7:DR7,'[1]МКУ "ИМЦ УО"'!DT7)</f>
        <v>20000</v>
      </c>
      <c r="H196" s="52">
        <f t="shared" si="14"/>
        <v>20000</v>
      </c>
      <c r="I196" s="52">
        <f t="shared" si="14"/>
        <v>20000</v>
      </c>
    </row>
    <row r="197" spans="1:9" x14ac:dyDescent="0.2">
      <c r="A197" s="199" t="s">
        <v>736</v>
      </c>
      <c r="B197" s="187"/>
      <c r="C197" s="188" t="s">
        <v>73</v>
      </c>
      <c r="D197" s="187" t="s">
        <v>114</v>
      </c>
      <c r="E197" s="187"/>
      <c r="F197" s="189"/>
      <c r="G197" s="32">
        <f>SUM(G198,G204,G209,G211,G216,G218,G220,G222,G226)</f>
        <v>41319189.369049996</v>
      </c>
      <c r="H197" s="32">
        <f>SUM(H198,H204,H206,H211,H218,H220,H222)</f>
        <v>35149406.155050002</v>
      </c>
      <c r="I197" s="32">
        <f>SUM(I198,I204,I206,I211,I218,I220,I222)</f>
        <v>35156280.685050003</v>
      </c>
    </row>
    <row r="198" spans="1:9" ht="25.5" x14ac:dyDescent="0.2">
      <c r="A198" s="199" t="s">
        <v>793</v>
      </c>
      <c r="B198" s="187" t="s">
        <v>197</v>
      </c>
      <c r="C198" s="188" t="s">
        <v>73</v>
      </c>
      <c r="D198" s="187" t="s">
        <v>66</v>
      </c>
      <c r="E198" s="187" t="s">
        <v>264</v>
      </c>
      <c r="F198" s="188" t="s">
        <v>219</v>
      </c>
      <c r="G198" s="32">
        <f>SUM(G199:G203)</f>
        <v>21510466.468849998</v>
      </c>
      <c r="H198" s="32">
        <f>SUM(H199:H203)</f>
        <v>15921629.772849999</v>
      </c>
      <c r="I198" s="32">
        <f>SUM(I199:I203)</f>
        <v>15921629.772849999</v>
      </c>
    </row>
    <row r="199" spans="1:9" ht="25.5" x14ac:dyDescent="0.2">
      <c r="A199" s="191" t="s">
        <v>329</v>
      </c>
      <c r="B199" s="81"/>
      <c r="C199" s="192" t="s">
        <v>73</v>
      </c>
      <c r="D199" s="81" t="s">
        <v>66</v>
      </c>
      <c r="E199" s="81" t="s">
        <v>264</v>
      </c>
      <c r="F199" s="190">
        <v>110</v>
      </c>
      <c r="G199" s="37">
        <f>SUM('[1]МКУ "УК"'!BQ7:BS7,'[1]МКУ "УК"'!BW7,'[1]МКУ "УК"'!CJ7)</f>
        <v>14651981.52</v>
      </c>
      <c r="H199" s="52">
        <f t="shared" ref="H199:I202" si="15">G199</f>
        <v>14651981.52</v>
      </c>
      <c r="I199" s="52">
        <f t="shared" si="15"/>
        <v>14651981.52</v>
      </c>
    </row>
    <row r="200" spans="1:9" ht="25.5" x14ac:dyDescent="0.2">
      <c r="A200" s="191" t="s">
        <v>330</v>
      </c>
      <c r="B200" s="81"/>
      <c r="C200" s="192" t="s">
        <v>73</v>
      </c>
      <c r="D200" s="81" t="s">
        <v>66</v>
      </c>
      <c r="E200" s="81" t="s">
        <v>264</v>
      </c>
      <c r="F200" s="190">
        <v>240</v>
      </c>
      <c r="G200" s="37">
        <f>SUM('[1]МКУ "УК"'!BT7:BV7,'[1]МКУ "УК"'!BX7:CG7,'[1]МКУ "УК"'!CI7,'[1]МКУ "УК"'!CK7:CR7,'[1]МКУ "УК"'!CU7:DB7,'[1]МКУ "УК"'!DT7,'[1]МКУ "УК"'!DW7:EI7)</f>
        <v>5437360.6960000005</v>
      </c>
      <c r="H200" s="52">
        <v>1248524</v>
      </c>
      <c r="I200" s="52">
        <f t="shared" si="15"/>
        <v>1248524</v>
      </c>
    </row>
    <row r="201" spans="1:9" x14ac:dyDescent="0.2">
      <c r="A201" s="191" t="s">
        <v>760</v>
      </c>
      <c r="B201" s="81"/>
      <c r="C201" s="192" t="s">
        <v>73</v>
      </c>
      <c r="D201" s="81" t="s">
        <v>66</v>
      </c>
      <c r="E201" s="81" t="s">
        <v>264</v>
      </c>
      <c r="F201" s="190">
        <v>350</v>
      </c>
      <c r="G201" s="37">
        <f>'[1]МКУ "УК"'!DR7</f>
        <v>1400000</v>
      </c>
      <c r="H201" s="52">
        <v>0</v>
      </c>
      <c r="I201" s="52">
        <v>0</v>
      </c>
    </row>
    <row r="202" spans="1:9" ht="25.5" hidden="1" x14ac:dyDescent="0.2">
      <c r="A202" s="191" t="s">
        <v>331</v>
      </c>
      <c r="B202" s="81"/>
      <c r="C202" s="192" t="s">
        <v>73</v>
      </c>
      <c r="D202" s="81" t="s">
        <v>66</v>
      </c>
      <c r="E202" s="81" t="s">
        <v>264</v>
      </c>
      <c r="F202" s="190">
        <v>400</v>
      </c>
      <c r="G202" s="37">
        <f>SUM('[1]МКУ "УК"'!DV7)</f>
        <v>0</v>
      </c>
      <c r="H202" s="52">
        <f t="shared" si="15"/>
        <v>0</v>
      </c>
      <c r="I202" s="52">
        <f t="shared" si="15"/>
        <v>0</v>
      </c>
    </row>
    <row r="203" spans="1:9" x14ac:dyDescent="0.2">
      <c r="A203" s="191" t="s">
        <v>336</v>
      </c>
      <c r="B203" s="81"/>
      <c r="C203" s="192" t="s">
        <v>73</v>
      </c>
      <c r="D203" s="81" t="s">
        <v>66</v>
      </c>
      <c r="E203" s="81" t="s">
        <v>264</v>
      </c>
      <c r="F203" s="190">
        <v>850</v>
      </c>
      <c r="G203" s="37">
        <f>SUM('[1]МКУ "УК"'!DI7:DQ7,'[1]МКУ "УК"'!DS7)</f>
        <v>21124.252850000001</v>
      </c>
      <c r="H203" s="52">
        <f>G203</f>
        <v>21124.252850000001</v>
      </c>
      <c r="I203" s="52">
        <f>G203</f>
        <v>21124.252850000001</v>
      </c>
    </row>
    <row r="204" spans="1:9" ht="38.25" x14ac:dyDescent="0.2">
      <c r="A204" s="170" t="s">
        <v>380</v>
      </c>
      <c r="B204" s="81"/>
      <c r="C204" s="188" t="s">
        <v>73</v>
      </c>
      <c r="D204" s="187" t="s">
        <v>66</v>
      </c>
      <c r="E204" s="187" t="s">
        <v>680</v>
      </c>
      <c r="F204" s="188" t="s">
        <v>219</v>
      </c>
      <c r="G204" s="32">
        <f>G205</f>
        <v>26000</v>
      </c>
      <c r="H204" s="53">
        <f>H205</f>
        <v>0</v>
      </c>
      <c r="I204" s="53">
        <f>I205</f>
        <v>0</v>
      </c>
    </row>
    <row r="205" spans="1:9" ht="38.25" x14ac:dyDescent="0.2">
      <c r="A205" s="44" t="s">
        <v>380</v>
      </c>
      <c r="B205" s="81"/>
      <c r="C205" s="192" t="s">
        <v>73</v>
      </c>
      <c r="D205" s="81" t="s">
        <v>66</v>
      </c>
      <c r="E205" s="81" t="s">
        <v>681</v>
      </c>
      <c r="F205" s="190">
        <v>240</v>
      </c>
      <c r="G205" s="37">
        <f>'[1]МКУ "УК"'!CH7</f>
        <v>26000</v>
      </c>
      <c r="H205" s="52">
        <v>0</v>
      </c>
      <c r="I205" s="52">
        <v>0</v>
      </c>
    </row>
    <row r="206" spans="1:9" ht="25.5" hidden="1" x14ac:dyDescent="0.2">
      <c r="A206" s="170" t="s">
        <v>682</v>
      </c>
      <c r="B206" s="187"/>
      <c r="C206" s="188" t="s">
        <v>73</v>
      </c>
      <c r="D206" s="187" t="s">
        <v>66</v>
      </c>
      <c r="E206" s="187" t="s">
        <v>683</v>
      </c>
      <c r="F206" s="188" t="s">
        <v>219</v>
      </c>
      <c r="G206" s="32">
        <f>SUM(G207:G208)</f>
        <v>0</v>
      </c>
      <c r="H206" s="32">
        <f>SUM(H207:H208)</f>
        <v>0</v>
      </c>
      <c r="I206" s="32">
        <f>SUM(I207:I208)</f>
        <v>0</v>
      </c>
    </row>
    <row r="207" spans="1:9" ht="25.5" hidden="1" x14ac:dyDescent="0.2">
      <c r="A207" s="44" t="s">
        <v>687</v>
      </c>
      <c r="B207" s="81"/>
      <c r="C207" s="192" t="s">
        <v>73</v>
      </c>
      <c r="D207" s="81" t="s">
        <v>66</v>
      </c>
      <c r="E207" s="81" t="s">
        <v>684</v>
      </c>
      <c r="F207" s="190">
        <v>240</v>
      </c>
      <c r="G207" s="37">
        <f>SUM('[1]МКУ "УК"'!BT8:BV8,'[1]МКУ "УК"'!BX8:CG8,'[1]МКУ "УК"'!CI8,'[1]МКУ "УК"'!CL8:CS8,'[1]МКУ "УК"'!CU8:DB8,'[1]МКУ "УК"'!DT8,'[1]МКУ "УК"'!DW8:EH8)</f>
        <v>0</v>
      </c>
      <c r="H207" s="52">
        <f>G207</f>
        <v>0</v>
      </c>
      <c r="I207" s="52">
        <f>H207</f>
        <v>0</v>
      </c>
    </row>
    <row r="208" spans="1:9" ht="25.5" hidden="1" x14ac:dyDescent="0.2">
      <c r="A208" s="44" t="s">
        <v>688</v>
      </c>
      <c r="B208" s="81"/>
      <c r="C208" s="192" t="s">
        <v>73</v>
      </c>
      <c r="D208" s="81" t="s">
        <v>66</v>
      </c>
      <c r="E208" s="81" t="s">
        <v>685</v>
      </c>
      <c r="F208" s="190">
        <v>240</v>
      </c>
      <c r="G208" s="37">
        <f>SUM('[1]МКУ "УК"'!BT9:BV9,'[1]МКУ "УК"'!BX9:CG9,'[1]МКУ "УК"'!CI9,'[1]МКУ "УК"'!CL9:CS9,'[1]МКУ "УК"'!CU9:DB9,'[1]МКУ "УК"'!DT9,'[1]МКУ "УК"'!DW9:EH9)</f>
        <v>0</v>
      </c>
      <c r="H208" s="52">
        <f>G208</f>
        <v>0</v>
      </c>
      <c r="I208" s="52">
        <f>H208</f>
        <v>0</v>
      </c>
    </row>
    <row r="209" spans="1:9" ht="25.5" x14ac:dyDescent="0.2">
      <c r="A209" s="186" t="s">
        <v>791</v>
      </c>
      <c r="B209" s="187" t="s">
        <v>197</v>
      </c>
      <c r="C209" s="188" t="s">
        <v>73</v>
      </c>
      <c r="D209" s="187" t="s">
        <v>66</v>
      </c>
      <c r="E209" s="187" t="s">
        <v>794</v>
      </c>
      <c r="F209" s="188" t="s">
        <v>219</v>
      </c>
      <c r="G209" s="32">
        <f>G210</f>
        <v>15000</v>
      </c>
      <c r="H209" s="53">
        <f>H210</f>
        <v>15000</v>
      </c>
      <c r="I209" s="53">
        <f>I210</f>
        <v>15000</v>
      </c>
    </row>
    <row r="210" spans="1:9" ht="25.5" x14ac:dyDescent="0.2">
      <c r="A210" s="191" t="s">
        <v>791</v>
      </c>
      <c r="B210" s="81"/>
      <c r="C210" s="192" t="s">
        <v>73</v>
      </c>
      <c r="D210" s="81" t="s">
        <v>66</v>
      </c>
      <c r="E210" s="81" t="s">
        <v>794</v>
      </c>
      <c r="F210" s="190">
        <v>240</v>
      </c>
      <c r="G210" s="37">
        <f>'[1]МКУ "УК"'!CT7</f>
        <v>15000</v>
      </c>
      <c r="H210" s="52">
        <f>G210</f>
        <v>15000</v>
      </c>
      <c r="I210" s="52">
        <f>H210</f>
        <v>15000</v>
      </c>
    </row>
    <row r="211" spans="1:9" ht="25.5" x14ac:dyDescent="0.2">
      <c r="A211" s="69" t="s">
        <v>611</v>
      </c>
      <c r="B211" s="187" t="s">
        <v>197</v>
      </c>
      <c r="C211" s="188" t="s">
        <v>73</v>
      </c>
      <c r="D211" s="187" t="s">
        <v>66</v>
      </c>
      <c r="E211" s="187" t="s">
        <v>265</v>
      </c>
      <c r="F211" s="188" t="s">
        <v>219</v>
      </c>
      <c r="G211" s="32">
        <f>SUM(G212:G215,)</f>
        <v>15815783.193</v>
      </c>
      <c r="H211" s="32">
        <f t="shared" ref="H211:I211" si="16">SUM(H212:H215,H216,H218)</f>
        <v>15293564.265000001</v>
      </c>
      <c r="I211" s="32">
        <f t="shared" si="16"/>
        <v>15293564.265000001</v>
      </c>
    </row>
    <row r="212" spans="1:9" ht="25.5" x14ac:dyDescent="0.2">
      <c r="A212" s="191" t="s">
        <v>329</v>
      </c>
      <c r="B212" s="81" t="s">
        <v>33</v>
      </c>
      <c r="C212" s="192" t="s">
        <v>73</v>
      </c>
      <c r="D212" s="81" t="s">
        <v>66</v>
      </c>
      <c r="E212" s="81" t="s">
        <v>265</v>
      </c>
      <c r="F212" s="190">
        <v>110</v>
      </c>
      <c r="G212" s="37">
        <f>SUM('[1]МКУ "БЦРБ"'!BQ7:BS7,'[1]МКУ "БЦРБ"'!BW7,'[1]МКУ "БЦРБ"'!CJ7)</f>
        <v>14322711.488</v>
      </c>
      <c r="H212" s="52">
        <f>G212</f>
        <v>14322711.488</v>
      </c>
      <c r="I212" s="52">
        <f>H212</f>
        <v>14322711.488</v>
      </c>
    </row>
    <row r="213" spans="1:9" ht="25.5" x14ac:dyDescent="0.2">
      <c r="A213" s="191" t="s">
        <v>330</v>
      </c>
      <c r="B213" s="81" t="s">
        <v>33</v>
      </c>
      <c r="C213" s="192" t="s">
        <v>73</v>
      </c>
      <c r="D213" s="81" t="s">
        <v>66</v>
      </c>
      <c r="E213" s="81" t="s">
        <v>265</v>
      </c>
      <c r="F213" s="190">
        <v>240</v>
      </c>
      <c r="G213" s="37">
        <f>SUM('[1]МКУ "БЦРБ"'!BT7:BV7,'[1]МКУ "БЦРБ"'!BX7:CG7,'[1]МКУ "БЦРБ"'!CI7,'[1]МКУ "БЦРБ"'!CK7:CR7,'[1]МКУ "БЦРБ"'!CU7:DB7,'[1]МКУ "БЦРБ"'!DT7,'[1]МКУ "БЦРБ"'!DW7:EH7)</f>
        <v>1486363.9280000001</v>
      </c>
      <c r="H213" s="52">
        <v>954145</v>
      </c>
      <c r="I213" s="52">
        <f>H213</f>
        <v>954145</v>
      </c>
    </row>
    <row r="214" spans="1:9" hidden="1" x14ac:dyDescent="0.2">
      <c r="A214" s="191" t="s">
        <v>795</v>
      </c>
      <c r="B214" s="81"/>
      <c r="C214" s="192" t="s">
        <v>73</v>
      </c>
      <c r="D214" s="81" t="s">
        <v>66</v>
      </c>
      <c r="E214" s="81" t="s">
        <v>265</v>
      </c>
      <c r="F214" s="190">
        <v>350</v>
      </c>
      <c r="G214" s="37">
        <f>'[1]МКУ "БЦРБ"'!DR7</f>
        <v>0</v>
      </c>
      <c r="H214" s="52">
        <v>0</v>
      </c>
      <c r="I214" s="52">
        <v>0</v>
      </c>
    </row>
    <row r="215" spans="1:9" x14ac:dyDescent="0.2">
      <c r="A215" s="191" t="s">
        <v>336</v>
      </c>
      <c r="B215" s="81" t="s">
        <v>33</v>
      </c>
      <c r="C215" s="192" t="s">
        <v>73</v>
      </c>
      <c r="D215" s="81" t="s">
        <v>66</v>
      </c>
      <c r="E215" s="81" t="s">
        <v>265</v>
      </c>
      <c r="F215" s="190">
        <v>850</v>
      </c>
      <c r="G215" s="37">
        <f>SUM('[1]МКУ "БЦРБ"'!DI7:DQ7,'[1]МКУ "БЦРБ"'!DS7)</f>
        <v>6707.777</v>
      </c>
      <c r="H215" s="52">
        <f>G215</f>
        <v>6707.777</v>
      </c>
      <c r="I215" s="52">
        <f>H215</f>
        <v>6707.777</v>
      </c>
    </row>
    <row r="216" spans="1:9" ht="25.5" x14ac:dyDescent="0.2">
      <c r="A216" s="186" t="s">
        <v>791</v>
      </c>
      <c r="B216" s="187" t="s">
        <v>197</v>
      </c>
      <c r="C216" s="188" t="s">
        <v>73</v>
      </c>
      <c r="D216" s="187" t="s">
        <v>66</v>
      </c>
      <c r="E216" s="187" t="s">
        <v>796</v>
      </c>
      <c r="F216" s="188" t="s">
        <v>219</v>
      </c>
      <c r="G216" s="32">
        <f>G217</f>
        <v>10000</v>
      </c>
      <c r="H216" s="53">
        <f>H217</f>
        <v>10000</v>
      </c>
      <c r="I216" s="53">
        <f>I217</f>
        <v>10000</v>
      </c>
    </row>
    <row r="217" spans="1:9" ht="25.5" x14ac:dyDescent="0.2">
      <c r="A217" s="191" t="s">
        <v>791</v>
      </c>
      <c r="B217" s="81"/>
      <c r="C217" s="192" t="s">
        <v>73</v>
      </c>
      <c r="D217" s="81" t="s">
        <v>66</v>
      </c>
      <c r="E217" s="81" t="s">
        <v>796</v>
      </c>
      <c r="F217" s="190">
        <v>240</v>
      </c>
      <c r="G217" s="37">
        <f>'[1]МКУ "БЦРБ"'!CT7</f>
        <v>10000</v>
      </c>
      <c r="H217" s="52">
        <f>G217</f>
        <v>10000</v>
      </c>
      <c r="I217" s="52">
        <f>H217</f>
        <v>10000</v>
      </c>
    </row>
    <row r="218" spans="1:9" ht="38.25" x14ac:dyDescent="0.2">
      <c r="A218" s="170" t="s">
        <v>380</v>
      </c>
      <c r="B218" s="81"/>
      <c r="C218" s="188" t="s">
        <v>73</v>
      </c>
      <c r="D218" s="187" t="s">
        <v>66</v>
      </c>
      <c r="E218" s="187" t="s">
        <v>690</v>
      </c>
      <c r="F218" s="188" t="s">
        <v>219</v>
      </c>
      <c r="G218" s="32">
        <f>G219</f>
        <v>6000</v>
      </c>
      <c r="H218" s="53">
        <f>H219</f>
        <v>0</v>
      </c>
      <c r="I218" s="53">
        <f>I219</f>
        <v>0</v>
      </c>
    </row>
    <row r="219" spans="1:9" ht="38.25" x14ac:dyDescent="0.2">
      <c r="A219" s="44" t="s">
        <v>380</v>
      </c>
      <c r="B219" s="81"/>
      <c r="C219" s="192" t="s">
        <v>73</v>
      </c>
      <c r="D219" s="81" t="s">
        <v>66</v>
      </c>
      <c r="E219" s="81" t="s">
        <v>690</v>
      </c>
      <c r="F219" s="190">
        <v>240</v>
      </c>
      <c r="G219" s="37">
        <f>'[1]МКУ "БЦРБ"'!CH7</f>
        <v>6000</v>
      </c>
      <c r="H219" s="52">
        <v>0</v>
      </c>
      <c r="I219" s="52">
        <v>0</v>
      </c>
    </row>
    <row r="220" spans="1:9" ht="25.5" x14ac:dyDescent="0.2">
      <c r="A220" s="199" t="s">
        <v>689</v>
      </c>
      <c r="B220" s="81"/>
      <c r="C220" s="188" t="s">
        <v>73</v>
      </c>
      <c r="D220" s="187" t="s">
        <v>66</v>
      </c>
      <c r="E220" s="187" t="s">
        <v>691</v>
      </c>
      <c r="F220" s="188" t="s">
        <v>219</v>
      </c>
      <c r="G220" s="32">
        <f>G221</f>
        <v>206486</v>
      </c>
      <c r="H220" s="32">
        <f>H221</f>
        <v>204758.41</v>
      </c>
      <c r="I220" s="32">
        <f>I221</f>
        <v>211632.94</v>
      </c>
    </row>
    <row r="221" spans="1:9" ht="25.5" x14ac:dyDescent="0.2">
      <c r="A221" s="44" t="s">
        <v>689</v>
      </c>
      <c r="B221" s="81"/>
      <c r="C221" s="192" t="s">
        <v>73</v>
      </c>
      <c r="D221" s="81" t="s">
        <v>66</v>
      </c>
      <c r="E221" s="81" t="s">
        <v>691</v>
      </c>
      <c r="F221" s="190">
        <v>240</v>
      </c>
      <c r="G221" s="37">
        <f>SUM('[1]МКУ "БЦРБ"'!BT8:BV8,'[1]МКУ "БЦРБ"'!BX8:CG8,'[1]МКУ "БЦРБ"'!CI8,'[1]МКУ "БЦРБ"'!CK8:CR8,'[1]МКУ "БЦРБ"'!CU8:DB8,'[1]МКУ "БЦРБ"'!DT8,'[1]МКУ "БЦРБ"'!DW8:EH8)</f>
        <v>206486</v>
      </c>
      <c r="H221" s="52">
        <f>'[1]Доходы прил №1'!F41*1000</f>
        <v>204758.41</v>
      </c>
      <c r="I221" s="52">
        <f>'[1]Доходы прил №1'!G41*1000</f>
        <v>211632.94</v>
      </c>
    </row>
    <row r="222" spans="1:9" ht="25.5" x14ac:dyDescent="0.2">
      <c r="A222" s="184" t="s">
        <v>797</v>
      </c>
      <c r="B222" s="187" t="s">
        <v>197</v>
      </c>
      <c r="C222" s="188" t="s">
        <v>73</v>
      </c>
      <c r="D222" s="187" t="s">
        <v>66</v>
      </c>
      <c r="E222" s="187" t="s">
        <v>474</v>
      </c>
      <c r="F222" s="188" t="s">
        <v>219</v>
      </c>
      <c r="G222" s="32">
        <f>SUM(G223:G225)</f>
        <v>3714453.7071999996</v>
      </c>
      <c r="H222" s="32">
        <f t="shared" ref="H222:I222" si="17">SUM(H223:H225,H226)</f>
        <v>3729453.7071999996</v>
      </c>
      <c r="I222" s="32">
        <f t="shared" si="17"/>
        <v>3729453.7071999996</v>
      </c>
    </row>
    <row r="223" spans="1:9" ht="25.5" x14ac:dyDescent="0.2">
      <c r="A223" s="191" t="s">
        <v>329</v>
      </c>
      <c r="B223" s="81"/>
      <c r="C223" s="192" t="s">
        <v>73</v>
      </c>
      <c r="D223" s="81" t="s">
        <v>66</v>
      </c>
      <c r="E223" s="81" t="s">
        <v>474</v>
      </c>
      <c r="F223" s="190">
        <v>110</v>
      </c>
      <c r="G223" s="37">
        <f>SUM('[1]МКУ "Истор краев музей" АМР '!BS7:BU7,'[1]МКУ "Истор краев музей" АМР '!BY7,'[1]МКУ "Истор краев музей" АМР '!CL7)</f>
        <v>3025414.5312000001</v>
      </c>
      <c r="H223" s="52">
        <f t="shared" ref="H223:I225" si="18">G223</f>
        <v>3025414.5312000001</v>
      </c>
      <c r="I223" s="52">
        <f t="shared" si="18"/>
        <v>3025414.5312000001</v>
      </c>
    </row>
    <row r="224" spans="1:9" ht="25.5" x14ac:dyDescent="0.2">
      <c r="A224" s="191" t="s">
        <v>330</v>
      </c>
      <c r="B224" s="81"/>
      <c r="C224" s="192" t="s">
        <v>73</v>
      </c>
      <c r="D224" s="81" t="s">
        <v>66</v>
      </c>
      <c r="E224" s="81" t="s">
        <v>474</v>
      </c>
      <c r="F224" s="190">
        <v>240</v>
      </c>
      <c r="G224" s="37">
        <f>SUM('[1]МКУ "Истор краев музей" АМР '!BV7:BX7,'[1]МКУ "Истор краев музей" АМР '!BZ7:CI7,'[1]МКУ "Истор краев музей" АМР '!CK7,'[1]МКУ "Истор краев музей" АМР '!CM7:CT7,'[1]МКУ "Истор краев музей" АМР '!CW7:DD7,'[1]МКУ "Истор краев музей" АМР '!DV7,'[1]МКУ "Истор краев музей" АМР '!DY7:EJ7)</f>
        <v>611230.22</v>
      </c>
      <c r="H224" s="52">
        <f t="shared" si="18"/>
        <v>611230.22</v>
      </c>
      <c r="I224" s="52">
        <f t="shared" si="18"/>
        <v>611230.22</v>
      </c>
    </row>
    <row r="225" spans="1:9" x14ac:dyDescent="0.2">
      <c r="A225" s="191" t="s">
        <v>336</v>
      </c>
      <c r="B225" s="81"/>
      <c r="C225" s="192" t="s">
        <v>73</v>
      </c>
      <c r="D225" s="81" t="s">
        <v>66</v>
      </c>
      <c r="E225" s="81" t="s">
        <v>474</v>
      </c>
      <c r="F225" s="190">
        <v>850</v>
      </c>
      <c r="G225" s="37">
        <f>SUM('[1]МКУ "Истор краев музей" АМР '!DK7:DS7,'[1]МКУ "Истор краев музей" АМР '!DU7)</f>
        <v>77808.955999999991</v>
      </c>
      <c r="H225" s="52">
        <f t="shared" si="18"/>
        <v>77808.955999999991</v>
      </c>
      <c r="I225" s="52">
        <f t="shared" si="18"/>
        <v>77808.955999999991</v>
      </c>
    </row>
    <row r="226" spans="1:9" ht="25.5" x14ac:dyDescent="0.2">
      <c r="A226" s="186" t="s">
        <v>791</v>
      </c>
      <c r="B226" s="187" t="s">
        <v>197</v>
      </c>
      <c r="C226" s="188" t="s">
        <v>73</v>
      </c>
      <c r="D226" s="187" t="s">
        <v>66</v>
      </c>
      <c r="E226" s="187" t="s">
        <v>798</v>
      </c>
      <c r="F226" s="188" t="s">
        <v>219</v>
      </c>
      <c r="G226" s="32">
        <f>G227</f>
        <v>15000</v>
      </c>
      <c r="H226" s="53">
        <f>H227</f>
        <v>15000</v>
      </c>
      <c r="I226" s="53">
        <f>I227</f>
        <v>15000</v>
      </c>
    </row>
    <row r="227" spans="1:9" ht="25.5" x14ac:dyDescent="0.2">
      <c r="A227" s="191" t="s">
        <v>791</v>
      </c>
      <c r="B227" s="81"/>
      <c r="C227" s="192" t="s">
        <v>73</v>
      </c>
      <c r="D227" s="81" t="s">
        <v>66</v>
      </c>
      <c r="E227" s="81" t="s">
        <v>798</v>
      </c>
      <c r="F227" s="190">
        <v>240</v>
      </c>
      <c r="G227" s="37">
        <f>'[1]МКУ "Истор краев музей" АМР '!CV8</f>
        <v>15000</v>
      </c>
      <c r="H227" s="52">
        <f>G227</f>
        <v>15000</v>
      </c>
      <c r="I227" s="52">
        <f>H227</f>
        <v>15000</v>
      </c>
    </row>
    <row r="228" spans="1:9" x14ac:dyDescent="0.2">
      <c r="A228" s="184" t="s">
        <v>213</v>
      </c>
      <c r="B228" s="187"/>
      <c r="C228" s="188" t="s">
        <v>127</v>
      </c>
      <c r="D228" s="187" t="s">
        <v>114</v>
      </c>
      <c r="E228" s="187"/>
      <c r="F228" s="189"/>
      <c r="G228" s="32">
        <f>SUM(G229,G231,G233,G236,G238,G240)</f>
        <v>8935400.0525000002</v>
      </c>
      <c r="H228" s="32">
        <f>SUM(H229,H231,H233,H236,H238,H240)</f>
        <v>9046399.6425000001</v>
      </c>
      <c r="I228" s="32">
        <f>SUM(I229,I231,I233,I236,I238,I240)</f>
        <v>9160399.6425000001</v>
      </c>
    </row>
    <row r="229" spans="1:9" x14ac:dyDescent="0.2">
      <c r="A229" s="186" t="s">
        <v>703</v>
      </c>
      <c r="B229" s="187"/>
      <c r="C229" s="188" t="s">
        <v>127</v>
      </c>
      <c r="D229" s="187" t="s">
        <v>66</v>
      </c>
      <c r="E229" s="187" t="s">
        <v>266</v>
      </c>
      <c r="F229" s="188" t="s">
        <v>219</v>
      </c>
      <c r="G229" s="32">
        <f>G230</f>
        <v>2750000</v>
      </c>
      <c r="H229" s="32">
        <f>G229</f>
        <v>2750000</v>
      </c>
      <c r="I229" s="32">
        <f>H229</f>
        <v>2750000</v>
      </c>
    </row>
    <row r="230" spans="1:9" x14ac:dyDescent="0.2">
      <c r="A230" s="191" t="s">
        <v>204</v>
      </c>
      <c r="B230" s="81" t="s">
        <v>197</v>
      </c>
      <c r="C230" s="192" t="s">
        <v>127</v>
      </c>
      <c r="D230" s="81" t="s">
        <v>66</v>
      </c>
      <c r="E230" s="81" t="s">
        <v>266</v>
      </c>
      <c r="F230" s="190">
        <v>312</v>
      </c>
      <c r="G230" s="37">
        <f>SUM([1]Администрация!DE21:DF21)</f>
        <v>2750000</v>
      </c>
      <c r="H230" s="37">
        <f>G230</f>
        <v>2750000</v>
      </c>
      <c r="I230" s="37">
        <f>H230</f>
        <v>2750000</v>
      </c>
    </row>
    <row r="231" spans="1:9" ht="25.5" x14ac:dyDescent="0.2">
      <c r="A231" s="186" t="s">
        <v>704</v>
      </c>
      <c r="B231" s="187"/>
      <c r="C231" s="188" t="s">
        <v>127</v>
      </c>
      <c r="D231" s="187" t="s">
        <v>71</v>
      </c>
      <c r="E231" s="187" t="s">
        <v>701</v>
      </c>
      <c r="F231" s="188" t="s">
        <v>219</v>
      </c>
      <c r="G231" s="32">
        <f>G232</f>
        <v>12000</v>
      </c>
      <c r="H231" s="32">
        <f>H232</f>
        <v>12000</v>
      </c>
      <c r="I231" s="32">
        <f>H231</f>
        <v>12000</v>
      </c>
    </row>
    <row r="232" spans="1:9" ht="25.5" x14ac:dyDescent="0.2">
      <c r="A232" s="191" t="s">
        <v>702</v>
      </c>
      <c r="B232" s="81" t="s">
        <v>197</v>
      </c>
      <c r="C232" s="192" t="s">
        <v>127</v>
      </c>
      <c r="D232" s="81" t="s">
        <v>71</v>
      </c>
      <c r="E232" s="81" t="s">
        <v>701</v>
      </c>
      <c r="F232" s="190">
        <v>312</v>
      </c>
      <c r="G232" s="37">
        <f>SUM([1]Администрация!DE22:DF22)</f>
        <v>12000</v>
      </c>
      <c r="H232" s="37">
        <f>G232</f>
        <v>12000</v>
      </c>
      <c r="I232" s="37">
        <f>H232</f>
        <v>12000</v>
      </c>
    </row>
    <row r="233" spans="1:9" x14ac:dyDescent="0.2">
      <c r="A233" s="186" t="s">
        <v>225</v>
      </c>
      <c r="B233" s="81"/>
      <c r="C233" s="188" t="s">
        <v>127</v>
      </c>
      <c r="D233" s="187" t="s">
        <v>69</v>
      </c>
      <c r="E233" s="187" t="s">
        <v>708</v>
      </c>
      <c r="F233" s="188" t="s">
        <v>219</v>
      </c>
      <c r="G233" s="32">
        <f>SUM(G234:G235)</f>
        <v>1830000</v>
      </c>
      <c r="H233" s="32">
        <f>SUM(H234:H235)</f>
        <v>1830000</v>
      </c>
      <c r="I233" s="32">
        <f>SUM(I234:I235)</f>
        <v>1830000</v>
      </c>
    </row>
    <row r="234" spans="1:9" ht="35.25" hidden="1" customHeight="1" x14ac:dyDescent="0.2">
      <c r="A234" s="191" t="s">
        <v>705</v>
      </c>
      <c r="B234" s="81" t="s">
        <v>197</v>
      </c>
      <c r="C234" s="192" t="s">
        <v>127</v>
      </c>
      <c r="D234" s="81" t="s">
        <v>69</v>
      </c>
      <c r="E234" s="81" t="s">
        <v>707</v>
      </c>
      <c r="F234" s="190">
        <v>412</v>
      </c>
      <c r="G234" s="37">
        <f>SUM([1]Администрация!DT32)</f>
        <v>0</v>
      </c>
      <c r="H234" s="37">
        <v>0</v>
      </c>
      <c r="I234" s="37">
        <v>0</v>
      </c>
    </row>
    <row r="235" spans="1:9" ht="25.5" x14ac:dyDescent="0.2">
      <c r="A235" s="191" t="s">
        <v>706</v>
      </c>
      <c r="B235" s="81" t="s">
        <v>197</v>
      </c>
      <c r="C235" s="192" t="s">
        <v>127</v>
      </c>
      <c r="D235" s="81" t="s">
        <v>69</v>
      </c>
      <c r="E235" s="81" t="s">
        <v>708</v>
      </c>
      <c r="F235" s="190">
        <v>412</v>
      </c>
      <c r="G235" s="37">
        <f>SUM([1]Администрация!DT23)</f>
        <v>1830000</v>
      </c>
      <c r="H235" s="37">
        <f>'[1]Доходы прил №1'!F49*1000</f>
        <v>1830000</v>
      </c>
      <c r="I235" s="37">
        <f>'[1]Доходы прил №1'!G49*1000</f>
        <v>1830000</v>
      </c>
    </row>
    <row r="236" spans="1:9" ht="27.75" customHeight="1" x14ac:dyDescent="0.2">
      <c r="A236" s="184" t="s">
        <v>737</v>
      </c>
      <c r="B236" s="81"/>
      <c r="C236" s="188" t="s">
        <v>127</v>
      </c>
      <c r="D236" s="187" t="s">
        <v>69</v>
      </c>
      <c r="E236" s="187" t="s">
        <v>709</v>
      </c>
      <c r="F236" s="188" t="s">
        <v>219</v>
      </c>
      <c r="G236" s="32">
        <f>G237</f>
        <v>2051000</v>
      </c>
      <c r="H236" s="32">
        <f>H237</f>
        <v>2123000</v>
      </c>
      <c r="I236" s="32">
        <f>I237</f>
        <v>2207000</v>
      </c>
    </row>
    <row r="237" spans="1:9" ht="15" customHeight="1" x14ac:dyDescent="0.2">
      <c r="A237" s="302" t="s">
        <v>738</v>
      </c>
      <c r="B237" s="81" t="s">
        <v>134</v>
      </c>
      <c r="C237" s="192" t="s">
        <v>127</v>
      </c>
      <c r="D237" s="81" t="s">
        <v>69</v>
      </c>
      <c r="E237" s="81" t="s">
        <v>709</v>
      </c>
      <c r="F237" s="190">
        <v>313</v>
      </c>
      <c r="G237" s="37">
        <f>SUM('[1]МКУ "УО"'!DJ6:DK6)</f>
        <v>2051000</v>
      </c>
      <c r="H237" s="52">
        <f>'[1]Доходы прил №1'!F48*1000</f>
        <v>2123000</v>
      </c>
      <c r="I237" s="52">
        <f>'[1]Доходы прил №1'!G48*1000</f>
        <v>2207000</v>
      </c>
    </row>
    <row r="238" spans="1:9" ht="24.75" customHeight="1" x14ac:dyDescent="0.2">
      <c r="A238" s="301" t="s">
        <v>768</v>
      </c>
      <c r="B238" s="81"/>
      <c r="C238" s="304" t="s">
        <v>127</v>
      </c>
      <c r="D238" s="305" t="s">
        <v>69</v>
      </c>
      <c r="E238" s="305" t="s">
        <v>657</v>
      </c>
      <c r="F238" s="188" t="s">
        <v>219</v>
      </c>
      <c r="G238" s="32">
        <f>G239</f>
        <v>1505400.41</v>
      </c>
      <c r="H238" s="32">
        <f>H239</f>
        <v>1505400</v>
      </c>
      <c r="I238" s="32">
        <f>I239</f>
        <v>1505400</v>
      </c>
    </row>
    <row r="239" spans="1:9" ht="15" customHeight="1" x14ac:dyDescent="0.2">
      <c r="A239" s="294" t="s">
        <v>656</v>
      </c>
      <c r="B239" s="295"/>
      <c r="C239" s="296" t="s">
        <v>127</v>
      </c>
      <c r="D239" s="295" t="s">
        <v>69</v>
      </c>
      <c r="E239" s="295" t="s">
        <v>657</v>
      </c>
      <c r="F239" s="297">
        <v>321</v>
      </c>
      <c r="G239" s="147">
        <f>SUM('[1]Ясли сады'!FF24)</f>
        <v>1505400.41</v>
      </c>
      <c r="H239" s="96">
        <f>'[1]Доходы прил №1'!F50*1000</f>
        <v>1505400</v>
      </c>
      <c r="I239" s="96">
        <f>'[1]Доходы прил №1'!G50*1000</f>
        <v>1505400</v>
      </c>
    </row>
    <row r="240" spans="1:9" ht="28.5" customHeight="1" x14ac:dyDescent="0.2">
      <c r="A240" s="186" t="s">
        <v>145</v>
      </c>
      <c r="B240" s="187" t="s">
        <v>134</v>
      </c>
      <c r="C240" s="188" t="s">
        <v>127</v>
      </c>
      <c r="D240" s="187" t="s">
        <v>68</v>
      </c>
      <c r="E240" s="187" t="s">
        <v>281</v>
      </c>
      <c r="F240" s="188" t="s">
        <v>219</v>
      </c>
      <c r="G240" s="32">
        <f>SUM(G241:G242)</f>
        <v>786999.64249999996</v>
      </c>
      <c r="H240" s="32">
        <f>SUM(H241:H242)</f>
        <v>825999.64249999996</v>
      </c>
      <c r="I240" s="32">
        <f>SUM(I241:I242)</f>
        <v>855999.64249999996</v>
      </c>
    </row>
    <row r="241" spans="1:9" ht="27.75" customHeight="1" x14ac:dyDescent="0.2">
      <c r="A241" s="191" t="s">
        <v>328</v>
      </c>
      <c r="B241" s="81"/>
      <c r="C241" s="192" t="s">
        <v>127</v>
      </c>
      <c r="D241" s="81" t="s">
        <v>68</v>
      </c>
      <c r="E241" s="81" t="s">
        <v>281</v>
      </c>
      <c r="F241" s="190">
        <v>120</v>
      </c>
      <c r="G241" s="37">
        <f>SUM('[1]МКУ "УО"'!BS7:BU7,'[1]МКУ "УО"'!BY7,'[1]МКУ "УО"'!CL7)</f>
        <v>726787.64249999996</v>
      </c>
      <c r="H241" s="52">
        <f>G241+39000</f>
        <v>765787.64249999996</v>
      </c>
      <c r="I241" s="52">
        <f>H241+30000</f>
        <v>795787.64249999996</v>
      </c>
    </row>
    <row r="242" spans="1:9" ht="27" customHeight="1" x14ac:dyDescent="0.2">
      <c r="A242" s="191" t="s">
        <v>330</v>
      </c>
      <c r="B242" s="81"/>
      <c r="C242" s="192" t="s">
        <v>127</v>
      </c>
      <c r="D242" s="81" t="s">
        <v>68</v>
      </c>
      <c r="E242" s="81" t="s">
        <v>281</v>
      </c>
      <c r="F242" s="190">
        <v>240</v>
      </c>
      <c r="G242" s="37">
        <f>SUM('[1]МКУ "УО"'!BV7:BX7,'[1]МКУ "УО"'!BZ7:CI7,'[1]МКУ "УО"'!CK7,'[1]МКУ "УО"'!CM7:CT7,'[1]МКУ "УО"'!CW7:DD7,'[1]МКУ "УО"'!DW7,'[1]МКУ "УО"'!DZ7:EK7)</f>
        <v>60212</v>
      </c>
      <c r="H242" s="52">
        <f>G242</f>
        <v>60212</v>
      </c>
      <c r="I242" s="52">
        <f>H242</f>
        <v>60212</v>
      </c>
    </row>
    <row r="243" spans="1:9" ht="15" customHeight="1" x14ac:dyDescent="0.2">
      <c r="A243" s="184" t="s">
        <v>739</v>
      </c>
      <c r="B243" s="187"/>
      <c r="C243" s="188" t="s">
        <v>227</v>
      </c>
      <c r="D243" s="187" t="s">
        <v>114</v>
      </c>
      <c r="E243" s="187"/>
      <c r="F243" s="188"/>
      <c r="G243" s="32">
        <f>SUM(G244,G247,G254,G279,G252)</f>
        <v>82593922.599319994</v>
      </c>
      <c r="H243" s="32">
        <f>SUM(H244,H247,H254,H279,H252)</f>
        <v>74783494.599320009</v>
      </c>
      <c r="I243" s="32">
        <f>SUM(I244,I247,I254,I279,I252)</f>
        <v>80202571.599319994</v>
      </c>
    </row>
    <row r="244" spans="1:9" ht="15" hidden="1" customHeight="1" x14ac:dyDescent="0.2">
      <c r="A244" s="184" t="s">
        <v>496</v>
      </c>
      <c r="B244" s="81" t="s">
        <v>33</v>
      </c>
      <c r="C244" s="188" t="s">
        <v>227</v>
      </c>
      <c r="D244" s="187" t="s">
        <v>66</v>
      </c>
      <c r="E244" s="187" t="s">
        <v>267</v>
      </c>
      <c r="F244" s="188" t="s">
        <v>219</v>
      </c>
      <c r="G244" s="32">
        <f>G245+G246</f>
        <v>0</v>
      </c>
      <c r="H244" s="32">
        <f>H245+H246</f>
        <v>0</v>
      </c>
      <c r="I244" s="32">
        <f>I245+I246</f>
        <v>0</v>
      </c>
    </row>
    <row r="245" spans="1:9" ht="15" hidden="1" customHeight="1" x14ac:dyDescent="0.2">
      <c r="A245" s="191" t="s">
        <v>751</v>
      </c>
      <c r="B245" s="81" t="s">
        <v>33</v>
      </c>
      <c r="C245" s="192" t="s">
        <v>227</v>
      </c>
      <c r="D245" s="81" t="s">
        <v>66</v>
      </c>
      <c r="E245" s="81" t="s">
        <v>267</v>
      </c>
      <c r="F245" s="190">
        <v>240</v>
      </c>
      <c r="G245" s="37">
        <f>SUM([1]Администрация!BP28:BR28,[1]Администрация!BT28:CD28,[1]Администрация!CF28,[1]Администрация!CH28:CO28,[1]Администрация!CR28:CY28,[1]Администрация!DU28:EG28)</f>
        <v>0</v>
      </c>
      <c r="H245" s="52">
        <f>G245</f>
        <v>0</v>
      </c>
      <c r="I245" s="52">
        <f>H245</f>
        <v>0</v>
      </c>
    </row>
    <row r="246" spans="1:9" ht="15" hidden="1" customHeight="1" x14ac:dyDescent="0.2">
      <c r="A246" s="191" t="s">
        <v>752</v>
      </c>
      <c r="B246" s="81"/>
      <c r="C246" s="192" t="s">
        <v>227</v>
      </c>
      <c r="D246" s="81" t="s">
        <v>66</v>
      </c>
      <c r="E246" s="81" t="s">
        <v>750</v>
      </c>
      <c r="F246" s="190">
        <v>410</v>
      </c>
      <c r="G246" s="37">
        <f>SUM([1]Администрация!DT34)</f>
        <v>0</v>
      </c>
      <c r="H246" s="52">
        <v>0</v>
      </c>
      <c r="I246" s="52">
        <v>0</v>
      </c>
    </row>
    <row r="247" spans="1:9" ht="15" customHeight="1" x14ac:dyDescent="0.2">
      <c r="A247" s="184" t="s">
        <v>799</v>
      </c>
      <c r="B247" s="187" t="s">
        <v>78</v>
      </c>
      <c r="C247" s="188" t="s">
        <v>227</v>
      </c>
      <c r="D247" s="187" t="s">
        <v>66</v>
      </c>
      <c r="E247" s="187" t="s">
        <v>268</v>
      </c>
      <c r="F247" s="188" t="s">
        <v>219</v>
      </c>
      <c r="G247" s="32">
        <f>SUM(G248:G251)</f>
        <v>7722695.0156000014</v>
      </c>
      <c r="H247" s="32">
        <f>SUM(H248:H251)</f>
        <v>7722695.0156000014</v>
      </c>
      <c r="I247" s="32">
        <f>SUM(I248:I251)</f>
        <v>7722695.0156000014</v>
      </c>
    </row>
    <row r="248" spans="1:9" ht="15" customHeight="1" x14ac:dyDescent="0.2">
      <c r="A248" s="191" t="s">
        <v>329</v>
      </c>
      <c r="B248" s="81"/>
      <c r="C248" s="192" t="s">
        <v>227</v>
      </c>
      <c r="D248" s="81" t="s">
        <v>66</v>
      </c>
      <c r="E248" s="81" t="s">
        <v>268</v>
      </c>
      <c r="F248" s="190">
        <v>110</v>
      </c>
      <c r="G248" s="37">
        <f>SUM('[1]МКУ "ФОК"'!BS7:BU7,'[1]МКУ "ФОК"'!BY7,'[1]МКУ "ФОК"'!CL7)</f>
        <v>5725116.3816000009</v>
      </c>
      <c r="H248" s="52">
        <f>G248</f>
        <v>5725116.3816000009</v>
      </c>
      <c r="I248" s="52">
        <f>H248</f>
        <v>5725116.3816000009</v>
      </c>
    </row>
    <row r="249" spans="1:9" ht="27.75" customHeight="1" x14ac:dyDescent="0.2">
      <c r="A249" s="191" t="s">
        <v>330</v>
      </c>
      <c r="B249" s="81"/>
      <c r="C249" s="192" t="s">
        <v>227</v>
      </c>
      <c r="D249" s="81" t="s">
        <v>66</v>
      </c>
      <c r="E249" s="81" t="s">
        <v>268</v>
      </c>
      <c r="F249" s="190">
        <v>240</v>
      </c>
      <c r="G249" s="37">
        <f>SUM('[1]МКУ "ФОК"'!BV7:BX7,'[1]МКУ "ФОК"'!BZ7:CI7,'[1]МКУ "ФОК"'!CK7,'[1]МКУ "ФОК"'!CM7:CT7,'[1]МКУ "ФОК"'!CW7:CX7,'[1]МКУ "ФОК"'!CY7:DD7,'[1]МКУ "ФОК"'!DV7,'[1]МКУ "ФОК"'!DY7:EK7)</f>
        <v>871838.52</v>
      </c>
      <c r="H249" s="52">
        <f>G249</f>
        <v>871838.52</v>
      </c>
      <c r="I249" s="52">
        <f>G249</f>
        <v>871838.52</v>
      </c>
    </row>
    <row r="250" spans="1:9" ht="15" hidden="1" customHeight="1" x14ac:dyDescent="0.2">
      <c r="A250" s="191" t="s">
        <v>331</v>
      </c>
      <c r="B250" s="81"/>
      <c r="C250" s="192" t="s">
        <v>227</v>
      </c>
      <c r="D250" s="81" t="s">
        <v>66</v>
      </c>
      <c r="E250" s="81" t="s">
        <v>317</v>
      </c>
      <c r="F250" s="190">
        <v>400</v>
      </c>
      <c r="G250" s="37">
        <f>SUM('[1]МКУ "ФОК"'!DX7)</f>
        <v>0</v>
      </c>
      <c r="H250" s="37">
        <f>G250</f>
        <v>0</v>
      </c>
      <c r="I250" s="37">
        <f>H250</f>
        <v>0</v>
      </c>
    </row>
    <row r="251" spans="1:9" ht="15" customHeight="1" x14ac:dyDescent="0.2">
      <c r="A251" s="191" t="s">
        <v>336</v>
      </c>
      <c r="B251" s="81"/>
      <c r="C251" s="192" t="s">
        <v>227</v>
      </c>
      <c r="D251" s="81" t="s">
        <v>66</v>
      </c>
      <c r="E251" s="81" t="s">
        <v>268</v>
      </c>
      <c r="F251" s="190">
        <v>850</v>
      </c>
      <c r="G251" s="37">
        <f>SUM('[1]МКУ "ФОК"'!DK7:DS7,'[1]МКУ "ФОК"'!DU7)</f>
        <v>1125740.1140000001</v>
      </c>
      <c r="H251" s="52">
        <f>G251</f>
        <v>1125740.1140000001</v>
      </c>
      <c r="I251" s="52">
        <f>G251</f>
        <v>1125740.1140000001</v>
      </c>
    </row>
    <row r="252" spans="1:9" ht="37.5" hidden="1" customHeight="1" x14ac:dyDescent="0.2">
      <c r="A252" s="170" t="s">
        <v>380</v>
      </c>
      <c r="B252" s="81"/>
      <c r="C252" s="188" t="s">
        <v>227</v>
      </c>
      <c r="D252" s="187" t="s">
        <v>66</v>
      </c>
      <c r="E252" s="187" t="s">
        <v>762</v>
      </c>
      <c r="F252" s="188" t="s">
        <v>219</v>
      </c>
      <c r="G252" s="32">
        <f>G253</f>
        <v>0</v>
      </c>
      <c r="H252" s="32">
        <f>H253</f>
        <v>0</v>
      </c>
      <c r="I252" s="32">
        <f>I253</f>
        <v>0</v>
      </c>
    </row>
    <row r="253" spans="1:9" ht="37.5" hidden="1" customHeight="1" x14ac:dyDescent="0.2">
      <c r="A253" s="44" t="s">
        <v>380</v>
      </c>
      <c r="B253" s="81"/>
      <c r="C253" s="192" t="s">
        <v>227</v>
      </c>
      <c r="D253" s="81" t="s">
        <v>66</v>
      </c>
      <c r="E253" s="81" t="s">
        <v>762</v>
      </c>
      <c r="F253" s="190">
        <v>240</v>
      </c>
      <c r="G253" s="37">
        <f>SUM('[1]МКУ "ФОК"'!CJ7,'[1]МКУ "ФОК"'!CV7,'[1]МКУ "ФОК"'!DW7)</f>
        <v>0</v>
      </c>
      <c r="H253" s="52">
        <v>0</v>
      </c>
      <c r="I253" s="52">
        <v>0</v>
      </c>
    </row>
    <row r="254" spans="1:9" ht="15" customHeight="1" x14ac:dyDescent="0.2">
      <c r="A254" s="186" t="s">
        <v>700</v>
      </c>
      <c r="B254" s="187" t="s">
        <v>206</v>
      </c>
      <c r="C254" s="197" t="s">
        <v>227</v>
      </c>
      <c r="D254" s="196" t="s">
        <v>71</v>
      </c>
      <c r="E254" s="196"/>
      <c r="F254" s="197"/>
      <c r="G254" s="198">
        <f>SUM(G255,G258,G261,G264,G267,G273,G270)</f>
        <v>72143560.724999994</v>
      </c>
      <c r="H254" s="198">
        <f>SUM(H255,H258,H261,H264,H267,H273,H270)</f>
        <v>64333132.725000001</v>
      </c>
      <c r="I254" s="198">
        <f>SUM(I255,I258,I261,I264,I267,I273,I270)</f>
        <v>69752209.724999994</v>
      </c>
    </row>
    <row r="255" spans="1:9" ht="27" customHeight="1" x14ac:dyDescent="0.2">
      <c r="A255" s="184" t="s">
        <v>740</v>
      </c>
      <c r="B255" s="187" t="s">
        <v>206</v>
      </c>
      <c r="C255" s="197" t="s">
        <v>227</v>
      </c>
      <c r="D255" s="196" t="s">
        <v>71</v>
      </c>
      <c r="E255" s="196" t="s">
        <v>665</v>
      </c>
      <c r="F255" s="197" t="s">
        <v>219</v>
      </c>
      <c r="G255" s="198">
        <f>SUM(G256:G257)</f>
        <v>8197555.1035023034</v>
      </c>
      <c r="H255" s="198">
        <f>SUM(H256:H257)</f>
        <v>7045840</v>
      </c>
      <c r="I255" s="198">
        <f>SUM(I256:I257)</f>
        <v>8129656</v>
      </c>
    </row>
    <row r="256" spans="1:9" ht="23.25" customHeight="1" x14ac:dyDescent="0.2">
      <c r="A256" s="44" t="s">
        <v>800</v>
      </c>
      <c r="B256" s="187"/>
      <c r="C256" s="192" t="s">
        <v>227</v>
      </c>
      <c r="D256" s="81" t="s">
        <v>71</v>
      </c>
      <c r="E256" s="81" t="s">
        <v>665</v>
      </c>
      <c r="F256" s="190">
        <v>614</v>
      </c>
      <c r="G256" s="37">
        <f>SUM('[1]МБУ внешк учрежд'!DP6)</f>
        <v>8197555.1035023034</v>
      </c>
      <c r="H256" s="37">
        <v>7045840</v>
      </c>
      <c r="I256" s="37">
        <v>8129656</v>
      </c>
    </row>
    <row r="257" spans="1:9" ht="15" hidden="1" customHeight="1" x14ac:dyDescent="0.2">
      <c r="A257" s="191" t="s">
        <v>298</v>
      </c>
      <c r="B257" s="187"/>
      <c r="C257" s="192" t="s">
        <v>227</v>
      </c>
      <c r="D257" s="81" t="s">
        <v>71</v>
      </c>
      <c r="E257" s="81" t="s">
        <v>665</v>
      </c>
      <c r="F257" s="190">
        <v>612</v>
      </c>
      <c r="G257" s="37">
        <f>SUM('[1]МБУ внешк учрежд'!DQ6)</f>
        <v>0</v>
      </c>
      <c r="H257" s="37">
        <f>G257</f>
        <v>0</v>
      </c>
      <c r="I257" s="37">
        <f>H257</f>
        <v>0</v>
      </c>
    </row>
    <row r="258" spans="1:9" ht="15" customHeight="1" x14ac:dyDescent="0.2">
      <c r="A258" s="184" t="s">
        <v>540</v>
      </c>
      <c r="B258" s="187" t="s">
        <v>206</v>
      </c>
      <c r="C258" s="197" t="s">
        <v>227</v>
      </c>
      <c r="D258" s="196" t="s">
        <v>71</v>
      </c>
      <c r="E258" s="196" t="s">
        <v>666</v>
      </c>
      <c r="F258" s="197" t="s">
        <v>219</v>
      </c>
      <c r="G258" s="32">
        <f>SUM(G259:G260)</f>
        <v>9264938.5656807199</v>
      </c>
      <c r="H258" s="32">
        <f>SUM(H259:H260)</f>
        <v>7785365</v>
      </c>
      <c r="I258" s="32">
        <f>SUM(I259:I260)</f>
        <v>8869181</v>
      </c>
    </row>
    <row r="259" spans="1:9" ht="25.5" customHeight="1" x14ac:dyDescent="0.2">
      <c r="A259" s="44" t="s">
        <v>800</v>
      </c>
      <c r="B259" s="187"/>
      <c r="C259" s="192" t="s">
        <v>227</v>
      </c>
      <c r="D259" s="81" t="s">
        <v>71</v>
      </c>
      <c r="E259" s="81" t="s">
        <v>666</v>
      </c>
      <c r="F259" s="190">
        <v>614</v>
      </c>
      <c r="G259" s="37">
        <f>SUM('[1]МБУ внешк учрежд'!DP7)</f>
        <v>9264938.5656807199</v>
      </c>
      <c r="H259" s="37">
        <v>7785365</v>
      </c>
      <c r="I259" s="37">
        <v>8869181</v>
      </c>
    </row>
    <row r="260" spans="1:9" ht="15" hidden="1" customHeight="1" x14ac:dyDescent="0.2">
      <c r="A260" s="191" t="s">
        <v>298</v>
      </c>
      <c r="B260" s="187"/>
      <c r="C260" s="192" t="s">
        <v>227</v>
      </c>
      <c r="D260" s="81" t="s">
        <v>71</v>
      </c>
      <c r="E260" s="81" t="s">
        <v>666</v>
      </c>
      <c r="F260" s="190">
        <v>612</v>
      </c>
      <c r="G260" s="37">
        <f>SUM('[1]МБУ внешк учрежд'!DQ7)</f>
        <v>0</v>
      </c>
      <c r="H260" s="37">
        <f>G260</f>
        <v>0</v>
      </c>
      <c r="I260" s="37">
        <f>H260</f>
        <v>0</v>
      </c>
    </row>
    <row r="261" spans="1:9" ht="15" customHeight="1" x14ac:dyDescent="0.2">
      <c r="A261" s="184" t="s">
        <v>539</v>
      </c>
      <c r="B261" s="187" t="s">
        <v>206</v>
      </c>
      <c r="C261" s="197" t="s">
        <v>227</v>
      </c>
      <c r="D261" s="196" t="s">
        <v>71</v>
      </c>
      <c r="E261" s="196" t="s">
        <v>667</v>
      </c>
      <c r="F261" s="197" t="s">
        <v>219</v>
      </c>
      <c r="G261" s="32">
        <f>SUM(G262:G263)</f>
        <v>20316550.190638825</v>
      </c>
      <c r="H261" s="32">
        <f>SUM(H262:H263)</f>
        <v>18750003</v>
      </c>
      <c r="I261" s="32">
        <f>SUM(I262:I263)</f>
        <v>19833819</v>
      </c>
    </row>
    <row r="262" spans="1:9" ht="25.5" customHeight="1" x14ac:dyDescent="0.2">
      <c r="A262" s="44" t="s">
        <v>800</v>
      </c>
      <c r="B262" s="187"/>
      <c r="C262" s="192" t="s">
        <v>227</v>
      </c>
      <c r="D262" s="81" t="s">
        <v>71</v>
      </c>
      <c r="E262" s="81" t="s">
        <v>667</v>
      </c>
      <c r="F262" s="190">
        <v>614</v>
      </c>
      <c r="G262" s="37">
        <f>SUM('[1]МБУ внешк учрежд'!DP8)</f>
        <v>20316550.190638825</v>
      </c>
      <c r="H262" s="37">
        <v>18750003</v>
      </c>
      <c r="I262" s="37">
        <v>19833819</v>
      </c>
    </row>
    <row r="263" spans="1:9" ht="15" hidden="1" customHeight="1" x14ac:dyDescent="0.2">
      <c r="A263" s="191" t="s">
        <v>298</v>
      </c>
      <c r="B263" s="187"/>
      <c r="C263" s="192" t="s">
        <v>227</v>
      </c>
      <c r="D263" s="81" t="s">
        <v>71</v>
      </c>
      <c r="E263" s="81" t="s">
        <v>667</v>
      </c>
      <c r="F263" s="190">
        <v>612</v>
      </c>
      <c r="G263" s="37">
        <f>SUM('[1]МБУ внешк учрежд'!DQ8)</f>
        <v>0</v>
      </c>
      <c r="H263" s="37">
        <f>G263</f>
        <v>0</v>
      </c>
      <c r="I263" s="37">
        <f>H263</f>
        <v>0</v>
      </c>
    </row>
    <row r="264" spans="1:9" ht="15" customHeight="1" x14ac:dyDescent="0.2">
      <c r="A264" s="184" t="s">
        <v>515</v>
      </c>
      <c r="B264" s="187" t="s">
        <v>206</v>
      </c>
      <c r="C264" s="197" t="s">
        <v>227</v>
      </c>
      <c r="D264" s="196" t="s">
        <v>71</v>
      </c>
      <c r="E264" s="196" t="s">
        <v>668</v>
      </c>
      <c r="F264" s="197" t="s">
        <v>219</v>
      </c>
      <c r="G264" s="32">
        <f>SUM(G265:G266)</f>
        <v>7714407.1335819624</v>
      </c>
      <c r="H264" s="32">
        <f>SUM(H265:H266)</f>
        <v>6795987</v>
      </c>
      <c r="I264" s="32">
        <f>SUM(I265:I266)</f>
        <v>7879803</v>
      </c>
    </row>
    <row r="265" spans="1:9" ht="25.5" customHeight="1" x14ac:dyDescent="0.2">
      <c r="A265" s="44" t="s">
        <v>800</v>
      </c>
      <c r="B265" s="187"/>
      <c r="C265" s="192" t="s">
        <v>227</v>
      </c>
      <c r="D265" s="81" t="s">
        <v>71</v>
      </c>
      <c r="E265" s="81" t="s">
        <v>668</v>
      </c>
      <c r="F265" s="190">
        <v>614</v>
      </c>
      <c r="G265" s="37">
        <f>SUM('[1]МБУ внешк учрежд'!DP9)</f>
        <v>7714407.1335819624</v>
      </c>
      <c r="H265" s="37">
        <v>6795987</v>
      </c>
      <c r="I265" s="37">
        <v>7879803</v>
      </c>
    </row>
    <row r="266" spans="1:9" ht="15" hidden="1" customHeight="1" x14ac:dyDescent="0.2">
      <c r="A266" s="191" t="s">
        <v>298</v>
      </c>
      <c r="B266" s="187"/>
      <c r="C266" s="192" t="s">
        <v>227</v>
      </c>
      <c r="D266" s="81" t="s">
        <v>71</v>
      </c>
      <c r="E266" s="81" t="s">
        <v>668</v>
      </c>
      <c r="F266" s="190">
        <v>612</v>
      </c>
      <c r="G266" s="37">
        <f>SUM('[1]МБУ внешк учрежд'!DQ9)</f>
        <v>0</v>
      </c>
      <c r="H266" s="37">
        <f>G266</f>
        <v>0</v>
      </c>
      <c r="I266" s="37">
        <f>H266</f>
        <v>0</v>
      </c>
    </row>
    <row r="267" spans="1:9" ht="15" customHeight="1" x14ac:dyDescent="0.2">
      <c r="A267" s="184" t="s">
        <v>516</v>
      </c>
      <c r="B267" s="187" t="s">
        <v>206</v>
      </c>
      <c r="C267" s="197" t="s">
        <v>227</v>
      </c>
      <c r="D267" s="196" t="s">
        <v>71</v>
      </c>
      <c r="E267" s="196" t="s">
        <v>669</v>
      </c>
      <c r="F267" s="197" t="s">
        <v>219</v>
      </c>
      <c r="G267" s="32">
        <f>SUM(G268:G269)</f>
        <v>15031209.731596187</v>
      </c>
      <c r="H267" s="32">
        <f>SUM(H268:H269)</f>
        <v>12435037.725</v>
      </c>
      <c r="I267" s="32">
        <f>SUM(I268:I269)</f>
        <v>13518850.725</v>
      </c>
    </row>
    <row r="268" spans="1:9" ht="25.5" customHeight="1" x14ac:dyDescent="0.2">
      <c r="A268" s="44" t="s">
        <v>801</v>
      </c>
      <c r="B268" s="187"/>
      <c r="C268" s="192" t="s">
        <v>227</v>
      </c>
      <c r="D268" s="81" t="s">
        <v>71</v>
      </c>
      <c r="E268" s="81" t="s">
        <v>669</v>
      </c>
      <c r="F268" s="192" t="s">
        <v>802</v>
      </c>
      <c r="G268" s="37">
        <f>SUM('[1]МБУ внешк учрежд'!DP10)</f>
        <v>14979734.006596187</v>
      </c>
      <c r="H268" s="37">
        <v>12383562</v>
      </c>
      <c r="I268" s="37">
        <v>13467375</v>
      </c>
    </row>
    <row r="269" spans="1:9" ht="21.75" customHeight="1" x14ac:dyDescent="0.2">
      <c r="A269" s="191" t="s">
        <v>298</v>
      </c>
      <c r="B269" s="187"/>
      <c r="C269" s="192" t="s">
        <v>227</v>
      </c>
      <c r="D269" s="81" t="s">
        <v>71</v>
      </c>
      <c r="E269" s="81" t="s">
        <v>669</v>
      </c>
      <c r="F269" s="190">
        <v>612</v>
      </c>
      <c r="G269" s="37">
        <f>SUM('[1]МБУ внешк учрежд'!DQ10)</f>
        <v>51475.724999999999</v>
      </c>
      <c r="H269" s="37">
        <f>G269</f>
        <v>51475.724999999999</v>
      </c>
      <c r="I269" s="37">
        <f>H269</f>
        <v>51475.724999999999</v>
      </c>
    </row>
    <row r="270" spans="1:9" ht="40.5" customHeight="1" x14ac:dyDescent="0.2">
      <c r="A270" s="170" t="s">
        <v>380</v>
      </c>
      <c r="B270" s="187" t="s">
        <v>206</v>
      </c>
      <c r="C270" s="197" t="s">
        <v>227</v>
      </c>
      <c r="D270" s="196" t="s">
        <v>71</v>
      </c>
      <c r="E270" s="187" t="s">
        <v>803</v>
      </c>
      <c r="F270" s="188" t="s">
        <v>219</v>
      </c>
      <c r="G270" s="32">
        <f>G271</f>
        <v>98000</v>
      </c>
      <c r="H270" s="32">
        <f>H271</f>
        <v>0</v>
      </c>
      <c r="I270" s="32">
        <f>I271</f>
        <v>0</v>
      </c>
    </row>
    <row r="271" spans="1:9" ht="41.25" customHeight="1" x14ac:dyDescent="0.2">
      <c r="A271" s="44" t="s">
        <v>380</v>
      </c>
      <c r="B271" s="187"/>
      <c r="C271" s="192" t="s">
        <v>227</v>
      </c>
      <c r="D271" s="81" t="s">
        <v>71</v>
      </c>
      <c r="E271" s="81" t="s">
        <v>803</v>
      </c>
      <c r="F271" s="190">
        <v>610</v>
      </c>
      <c r="G271" s="37">
        <f>SUM('[1]МБУ внешк учрежд'!CS11,'[1]МБУ внешк учрежд'!DE11:DG11,'[1]МБУ внешк учрежд'!DL11:DN11,'[1]МБУ внешк учрежд'!EH11)</f>
        <v>98000</v>
      </c>
      <c r="H271" s="37">
        <v>0</v>
      </c>
      <c r="I271" s="37">
        <v>0</v>
      </c>
    </row>
    <row r="272" spans="1:9" ht="14.25" customHeight="1" x14ac:dyDescent="0.2">
      <c r="A272" s="191"/>
      <c r="B272" s="187"/>
      <c r="C272" s="192"/>
      <c r="D272" s="81"/>
      <c r="E272" s="81"/>
      <c r="F272" s="190"/>
      <c r="G272" s="37"/>
      <c r="H272" s="37"/>
      <c r="I272" s="37"/>
    </row>
    <row r="273" spans="1:9" ht="15" customHeight="1" x14ac:dyDescent="0.2">
      <c r="A273" s="184" t="s">
        <v>283</v>
      </c>
      <c r="B273" s="187" t="s">
        <v>206</v>
      </c>
      <c r="C273" s="188" t="s">
        <v>227</v>
      </c>
      <c r="D273" s="187" t="s">
        <v>71</v>
      </c>
      <c r="E273" s="187" t="s">
        <v>670</v>
      </c>
      <c r="F273" s="188" t="s">
        <v>219</v>
      </c>
      <c r="G273" s="32">
        <f>SUM(G274:G278)</f>
        <v>11520900</v>
      </c>
      <c r="H273" s="32">
        <f>SUM(H274:H278)</f>
        <v>11520900</v>
      </c>
      <c r="I273" s="32">
        <f>SUM(I274:I278)</f>
        <v>11520900</v>
      </c>
    </row>
    <row r="274" spans="1:9" ht="15" customHeight="1" x14ac:dyDescent="0.2">
      <c r="A274" s="191" t="str">
        <f>'[1]МКУ "ФУ"'!A21:B21</f>
        <v xml:space="preserve">Персонифицированное финансирование </v>
      </c>
      <c r="B274" s="187"/>
      <c r="C274" s="192" t="s">
        <v>227</v>
      </c>
      <c r="D274" s="81" t="s">
        <v>71</v>
      </c>
      <c r="E274" s="81" t="s">
        <v>670</v>
      </c>
      <c r="F274" s="190">
        <v>614</v>
      </c>
      <c r="G274" s="37">
        <f>SUM('[1]МКУ "ФУ"'!DC21)</f>
        <v>11271111</v>
      </c>
      <c r="H274" s="37">
        <f t="shared" ref="H274:I278" si="19">G274</f>
        <v>11271111</v>
      </c>
      <c r="I274" s="37">
        <f t="shared" si="19"/>
        <v>11271111</v>
      </c>
    </row>
    <row r="275" spans="1:9" ht="15" customHeight="1" x14ac:dyDescent="0.2">
      <c r="A275" s="191" t="str">
        <f>'[1]МКУ "ФУ"'!A22:B22</f>
        <v>Персонифицированное финансирование (Гранты)</v>
      </c>
      <c r="B275" s="187"/>
      <c r="C275" s="192" t="s">
        <v>227</v>
      </c>
      <c r="D275" s="81" t="s">
        <v>71</v>
      </c>
      <c r="E275" s="81" t="s">
        <v>670</v>
      </c>
      <c r="F275" s="190">
        <v>615</v>
      </c>
      <c r="G275" s="37">
        <f>SUM('[1]МКУ "ФУ"'!DD22)</f>
        <v>62448</v>
      </c>
      <c r="H275" s="37">
        <f t="shared" si="19"/>
        <v>62448</v>
      </c>
      <c r="I275" s="37">
        <f t="shared" si="19"/>
        <v>62448</v>
      </c>
    </row>
    <row r="276" spans="1:9" ht="15" customHeight="1" x14ac:dyDescent="0.2">
      <c r="A276" s="191" t="str">
        <f>'[1]МКУ "ФУ"'!A23:B23</f>
        <v>Персонифицированное финансирование (Гранты)</v>
      </c>
      <c r="B276" s="187"/>
      <c r="C276" s="192" t="s">
        <v>227</v>
      </c>
      <c r="D276" s="81" t="s">
        <v>71</v>
      </c>
      <c r="E276" s="81" t="s">
        <v>670</v>
      </c>
      <c r="F276" s="190">
        <v>625</v>
      </c>
      <c r="G276" s="37">
        <f>SUM('[1]МКУ "ФУ"'!DD23)</f>
        <v>62447</v>
      </c>
      <c r="H276" s="37">
        <f t="shared" si="19"/>
        <v>62447</v>
      </c>
      <c r="I276" s="37">
        <f t="shared" si="19"/>
        <v>62447</v>
      </c>
    </row>
    <row r="277" spans="1:9" ht="15" customHeight="1" x14ac:dyDescent="0.2">
      <c r="A277" s="191" t="str">
        <f>'[1]МКУ "ФУ"'!A24:B24</f>
        <v>Персонифицированное финансирование (Гранты)</v>
      </c>
      <c r="B277" s="187"/>
      <c r="C277" s="192" t="s">
        <v>227</v>
      </c>
      <c r="D277" s="81" t="s">
        <v>71</v>
      </c>
      <c r="E277" s="81" t="s">
        <v>670</v>
      </c>
      <c r="F277" s="190">
        <v>635</v>
      </c>
      <c r="G277" s="37">
        <f>SUM('[1]МКУ "ФУ"'!DD24)</f>
        <v>62447</v>
      </c>
      <c r="H277" s="37">
        <f t="shared" si="19"/>
        <v>62447</v>
      </c>
      <c r="I277" s="37">
        <f t="shared" si="19"/>
        <v>62447</v>
      </c>
    </row>
    <row r="278" spans="1:9" ht="15" customHeight="1" x14ac:dyDescent="0.2">
      <c r="A278" s="191" t="str">
        <f>'[1]МКУ "ФУ"'!A25:B25</f>
        <v>Персонифицированное финансирование (Гранты)</v>
      </c>
      <c r="B278" s="187"/>
      <c r="C278" s="192" t="s">
        <v>227</v>
      </c>
      <c r="D278" s="81" t="s">
        <v>71</v>
      </c>
      <c r="E278" s="81" t="s">
        <v>670</v>
      </c>
      <c r="F278" s="190">
        <v>816</v>
      </c>
      <c r="G278" s="37">
        <f>SUM('[1]МКУ "ФУ"'!DD25)</f>
        <v>62447</v>
      </c>
      <c r="H278" s="37">
        <f t="shared" si="19"/>
        <v>62447</v>
      </c>
      <c r="I278" s="37">
        <f t="shared" si="19"/>
        <v>62447</v>
      </c>
    </row>
    <row r="279" spans="1:9" ht="27.75" customHeight="1" x14ac:dyDescent="0.2">
      <c r="A279" s="184" t="s">
        <v>170</v>
      </c>
      <c r="B279" s="187" t="s">
        <v>197</v>
      </c>
      <c r="C279" s="188" t="s">
        <v>227</v>
      </c>
      <c r="D279" s="187" t="s">
        <v>74</v>
      </c>
      <c r="E279" s="187"/>
      <c r="F279" s="189"/>
      <c r="G279" s="32">
        <f>SUM(G280,G283,G286)</f>
        <v>2727666.8587199999</v>
      </c>
      <c r="H279" s="32">
        <f t="shared" ref="H279:I279" si="20">SUM(H280,H283,H286)</f>
        <v>2727666.8587199999</v>
      </c>
      <c r="I279" s="32">
        <f t="shared" si="20"/>
        <v>2727666.8587199999</v>
      </c>
    </row>
    <row r="280" spans="1:9" ht="15" customHeight="1" x14ac:dyDescent="0.2">
      <c r="A280" s="186" t="s">
        <v>284</v>
      </c>
      <c r="B280" s="187" t="s">
        <v>197</v>
      </c>
      <c r="C280" s="188" t="s">
        <v>227</v>
      </c>
      <c r="D280" s="187" t="s">
        <v>74</v>
      </c>
      <c r="E280" s="187" t="s">
        <v>251</v>
      </c>
      <c r="F280" s="188" t="s">
        <v>219</v>
      </c>
      <c r="G280" s="32">
        <f>SUM(G281:G282)</f>
        <v>1437666.8587200001</v>
      </c>
      <c r="H280" s="32">
        <f>SUM(H281:H282)</f>
        <v>1437666.8587200001</v>
      </c>
      <c r="I280" s="32">
        <f>SUM(I281:I282)</f>
        <v>1437666.8587200001</v>
      </c>
    </row>
    <row r="281" spans="1:9" ht="24.75" customHeight="1" x14ac:dyDescent="0.2">
      <c r="A281" s="191" t="s">
        <v>328</v>
      </c>
      <c r="B281" s="81" t="s">
        <v>33</v>
      </c>
      <c r="C281" s="192" t="s">
        <v>227</v>
      </c>
      <c r="D281" s="81" t="s">
        <v>74</v>
      </c>
      <c r="E281" s="81" t="s">
        <v>251</v>
      </c>
      <c r="F281" s="190">
        <v>120</v>
      </c>
      <c r="G281" s="37">
        <f>SUM([1]Администрация!BM29:BO29,[1]Администрация!BS29,[1]Администрация!CG29)</f>
        <v>1407128.2393700001</v>
      </c>
      <c r="H281" s="37">
        <f>G281</f>
        <v>1407128.2393700001</v>
      </c>
      <c r="I281" s="37">
        <f>H281</f>
        <v>1407128.2393700001</v>
      </c>
    </row>
    <row r="282" spans="1:9" ht="26.25" customHeight="1" x14ac:dyDescent="0.2">
      <c r="A282" s="191" t="s">
        <v>330</v>
      </c>
      <c r="B282" s="81" t="s">
        <v>33</v>
      </c>
      <c r="C282" s="192" t="s">
        <v>227</v>
      </c>
      <c r="D282" s="81" t="s">
        <v>74</v>
      </c>
      <c r="E282" s="81" t="s">
        <v>251</v>
      </c>
      <c r="F282" s="190">
        <v>240</v>
      </c>
      <c r="G282" s="37">
        <f>SUM([1]Администрация!BP29:BR29,[1]Администрация!BT29:CD29,[1]Администрация!CF29,[1]Администрация!CH29:CO29,[1]Администрация!CR29:CY29,[1]Администрация!DR29,[1]Администрация!DU29:EG29)</f>
        <v>30538.619350000001</v>
      </c>
      <c r="H282" s="37">
        <f>G282</f>
        <v>30538.619350000001</v>
      </c>
      <c r="I282" s="37">
        <f>H282</f>
        <v>30538.619350000001</v>
      </c>
    </row>
    <row r="283" spans="1:9" ht="26.25" customHeight="1" x14ac:dyDescent="0.2">
      <c r="A283" s="186" t="s">
        <v>170</v>
      </c>
      <c r="B283" s="187" t="s">
        <v>197</v>
      </c>
      <c r="C283" s="188" t="s">
        <v>227</v>
      </c>
      <c r="D283" s="187" t="s">
        <v>74</v>
      </c>
      <c r="E283" s="187" t="s">
        <v>267</v>
      </c>
      <c r="F283" s="188" t="s">
        <v>219</v>
      </c>
      <c r="G283" s="32">
        <f>SUM(G284:G285)</f>
        <v>1250000</v>
      </c>
      <c r="H283" s="32">
        <f>SUM(H284:H285)</f>
        <v>1250000</v>
      </c>
      <c r="I283" s="32">
        <f>SUM(I284:I285)</f>
        <v>1250000</v>
      </c>
    </row>
    <row r="284" spans="1:9" ht="25.5" customHeight="1" x14ac:dyDescent="0.2">
      <c r="A284" s="191" t="s">
        <v>330</v>
      </c>
      <c r="B284" s="81"/>
      <c r="C284" s="192" t="s">
        <v>227</v>
      </c>
      <c r="D284" s="81" t="s">
        <v>74</v>
      </c>
      <c r="E284" s="81" t="s">
        <v>267</v>
      </c>
      <c r="F284" s="190">
        <v>240</v>
      </c>
      <c r="G284" s="37">
        <f>SUM([1]Администрация!BP30:BR30,[1]Администрация!BT30:CD30,[1]Администрация!CF30,[1]Администрация!CG30:CO30,[1]Администрация!CR30:CY30,[1]Администрация!DR30,[1]Администрация!DU30:EG30)</f>
        <v>250000</v>
      </c>
      <c r="H284" s="37">
        <f>G284</f>
        <v>250000</v>
      </c>
      <c r="I284" s="37">
        <f>H284</f>
        <v>250000</v>
      </c>
    </row>
    <row r="285" spans="1:9" ht="27" customHeight="1" x14ac:dyDescent="0.2">
      <c r="A285" s="191" t="s">
        <v>331</v>
      </c>
      <c r="B285" s="81"/>
      <c r="C285" s="192" t="s">
        <v>227</v>
      </c>
      <c r="D285" s="81" t="s">
        <v>74</v>
      </c>
      <c r="E285" s="81" t="s">
        <v>267</v>
      </c>
      <c r="F285" s="190">
        <v>350</v>
      </c>
      <c r="G285" s="37">
        <f>SUM([1]Администрация!DP30)</f>
        <v>1000000</v>
      </c>
      <c r="H285" s="52">
        <f>G285</f>
        <v>1000000</v>
      </c>
      <c r="I285" s="52">
        <f>H285</f>
        <v>1000000</v>
      </c>
    </row>
    <row r="286" spans="1:9" ht="27" customHeight="1" x14ac:dyDescent="0.2">
      <c r="A286" s="186" t="str">
        <f>[1]Администрация!A38</f>
        <v>МП "Комплексная программа противодействия идеологии терроризма"</v>
      </c>
      <c r="B286" s="187" t="s">
        <v>197</v>
      </c>
      <c r="C286" s="188" t="s">
        <v>227</v>
      </c>
      <c r="D286" s="187" t="s">
        <v>74</v>
      </c>
      <c r="E286" s="187" t="s">
        <v>792</v>
      </c>
      <c r="F286" s="188" t="s">
        <v>219</v>
      </c>
      <c r="G286" s="32">
        <f>G287</f>
        <v>40000</v>
      </c>
      <c r="H286" s="32">
        <f>H287</f>
        <v>40000</v>
      </c>
      <c r="I286" s="32">
        <f>I287</f>
        <v>40000</v>
      </c>
    </row>
    <row r="287" spans="1:9" ht="27" customHeight="1" x14ac:dyDescent="0.2">
      <c r="A287" s="191" t="str">
        <f>[1]Администрация!A38</f>
        <v>МП "Комплексная программа противодействия идеологии терроризма"</v>
      </c>
      <c r="B287" s="81"/>
      <c r="C287" s="192" t="s">
        <v>227</v>
      </c>
      <c r="D287" s="81" t="s">
        <v>74</v>
      </c>
      <c r="E287" s="81" t="s">
        <v>792</v>
      </c>
      <c r="F287" s="190">
        <v>240</v>
      </c>
      <c r="G287" s="37">
        <f>[1]Администрация!CQ38</f>
        <v>40000</v>
      </c>
      <c r="H287" s="37">
        <f>G287</f>
        <v>40000</v>
      </c>
      <c r="I287" s="37">
        <f>H287</f>
        <v>40000</v>
      </c>
    </row>
    <row r="288" spans="1:9" ht="15" customHeight="1" x14ac:dyDescent="0.2">
      <c r="A288" s="186" t="s">
        <v>171</v>
      </c>
      <c r="B288" s="187"/>
      <c r="C288" s="188" t="s">
        <v>86</v>
      </c>
      <c r="D288" s="187" t="s">
        <v>114</v>
      </c>
      <c r="E288" s="187"/>
      <c r="F288" s="189"/>
      <c r="G288" s="32">
        <f>SUM(G289,G293)</f>
        <v>8062251.0285999998</v>
      </c>
      <c r="H288" s="32">
        <f>SUM(H289,H293)</f>
        <v>7147306.8285999997</v>
      </c>
      <c r="I288" s="32">
        <f>SUM(I289,I293)</f>
        <v>7147306.8285999997</v>
      </c>
    </row>
    <row r="289" spans="1:9" ht="18" customHeight="1" x14ac:dyDescent="0.2">
      <c r="A289" s="184" t="s">
        <v>804</v>
      </c>
      <c r="B289" s="187" t="s">
        <v>197</v>
      </c>
      <c r="C289" s="188" t="s">
        <v>86</v>
      </c>
      <c r="D289" s="187" t="s">
        <v>66</v>
      </c>
      <c r="E289" s="187" t="s">
        <v>269</v>
      </c>
      <c r="F289" s="188" t="s">
        <v>219</v>
      </c>
      <c r="G289" s="32">
        <f>SUM(G290:G292)</f>
        <v>2721909</v>
      </c>
      <c r="H289" s="32">
        <f>SUM(H290:H292)</f>
        <v>2256313.88</v>
      </c>
      <c r="I289" s="32">
        <f>SUM(I290:I292)</f>
        <v>2256313.88</v>
      </c>
    </row>
    <row r="290" spans="1:9" ht="15" customHeight="1" x14ac:dyDescent="0.2">
      <c r="A290" s="191" t="s">
        <v>329</v>
      </c>
      <c r="B290" s="81" t="s">
        <v>33</v>
      </c>
      <c r="C290" s="192" t="s">
        <v>86</v>
      </c>
      <c r="D290" s="81" t="s">
        <v>66</v>
      </c>
      <c r="E290" s="81" t="s">
        <v>269</v>
      </c>
      <c r="F290" s="190">
        <v>110</v>
      </c>
      <c r="G290" s="37">
        <f>SUM('[1]МКУ "РВК"'!BS7:BU7,'[1]МКУ "РВК"'!BY7,'[1]МКУ "РВК"'!CM7)</f>
        <v>2000828.88</v>
      </c>
      <c r="H290" s="52">
        <f t="shared" ref="H290:I292" si="21">G290</f>
        <v>2000828.88</v>
      </c>
      <c r="I290" s="52">
        <f t="shared" si="21"/>
        <v>2000828.88</v>
      </c>
    </row>
    <row r="291" spans="1:9" ht="27.75" customHeight="1" x14ac:dyDescent="0.2">
      <c r="A291" s="191" t="s">
        <v>330</v>
      </c>
      <c r="B291" s="81"/>
      <c r="C291" s="192" t="s">
        <v>86</v>
      </c>
      <c r="D291" s="81" t="s">
        <v>66</v>
      </c>
      <c r="E291" s="81" t="s">
        <v>269</v>
      </c>
      <c r="F291" s="190">
        <v>240</v>
      </c>
      <c r="G291" s="37">
        <f>SUM('[1]МКУ "РВК"'!BV7:BX7,'[1]МКУ "РВК"'!BZ7:CJ7,'[1]МКУ "РВК"'!CL7,'[1]МКУ "РВК"'!CN7:CU7,'[1]МКУ "РВК"'!CX7:DE7,'[1]МКУ "РВК"'!DW7,'[1]МКУ "РВК"'!DZ7:EK7)</f>
        <v>701080.12</v>
      </c>
      <c r="H291" s="52">
        <v>235485</v>
      </c>
      <c r="I291" s="52">
        <f t="shared" si="21"/>
        <v>235485</v>
      </c>
    </row>
    <row r="292" spans="1:9" ht="15" customHeight="1" x14ac:dyDescent="0.2">
      <c r="A292" s="191" t="s">
        <v>336</v>
      </c>
      <c r="B292" s="81"/>
      <c r="C292" s="192" t="s">
        <v>86</v>
      </c>
      <c r="D292" s="81" t="s">
        <v>66</v>
      </c>
      <c r="E292" s="81" t="s">
        <v>269</v>
      </c>
      <c r="F292" s="190">
        <v>850</v>
      </c>
      <c r="G292" s="37">
        <f>SUM('[1]МКУ "РВК"'!DL7:DT7,'[1]МКУ "РВК"'!DV7)</f>
        <v>20000</v>
      </c>
      <c r="H292" s="52">
        <f t="shared" si="21"/>
        <v>20000</v>
      </c>
      <c r="I292" s="52">
        <f t="shared" si="21"/>
        <v>20000</v>
      </c>
    </row>
    <row r="293" spans="1:9" ht="25.5" customHeight="1" x14ac:dyDescent="0.2">
      <c r="A293" s="184" t="s">
        <v>805</v>
      </c>
      <c r="B293" s="187" t="s">
        <v>197</v>
      </c>
      <c r="C293" s="188" t="s">
        <v>86</v>
      </c>
      <c r="D293" s="187" t="s">
        <v>67</v>
      </c>
      <c r="E293" s="187" t="s">
        <v>270</v>
      </c>
      <c r="F293" s="188" t="s">
        <v>219</v>
      </c>
      <c r="G293" s="32">
        <f>SUM(G294:G296,G299,G297)</f>
        <v>5340342.0285999998</v>
      </c>
      <c r="H293" s="32">
        <f t="shared" ref="H293:I293" si="22">SUM(H294:H296,H299,H297)</f>
        <v>4890992.9485999998</v>
      </c>
      <c r="I293" s="32">
        <f t="shared" si="22"/>
        <v>4890992.9485999998</v>
      </c>
    </row>
    <row r="294" spans="1:9" ht="15" customHeight="1" x14ac:dyDescent="0.2">
      <c r="A294" s="191" t="s">
        <v>329</v>
      </c>
      <c r="B294" s="81" t="s">
        <v>33</v>
      </c>
      <c r="C294" s="192" t="s">
        <v>86</v>
      </c>
      <c r="D294" s="81" t="s">
        <v>67</v>
      </c>
      <c r="E294" s="81" t="s">
        <v>270</v>
      </c>
      <c r="F294" s="190">
        <v>110</v>
      </c>
      <c r="G294" s="37">
        <f>SUM('[1]МКУ "Редакция"'!BS7:BU7,'[1]МКУ "Редакция"'!BY7,'[1]МКУ "Редакция"'!CL7)</f>
        <v>4572914.7365999995</v>
      </c>
      <c r="H294" s="52">
        <f t="shared" ref="H294:I296" si="23">G294</f>
        <v>4572914.7365999995</v>
      </c>
      <c r="I294" s="52">
        <f t="shared" si="23"/>
        <v>4572914.7365999995</v>
      </c>
    </row>
    <row r="295" spans="1:9" ht="27.75" customHeight="1" x14ac:dyDescent="0.2">
      <c r="A295" s="191" t="s">
        <v>330</v>
      </c>
      <c r="B295" s="81"/>
      <c r="C295" s="192" t="s">
        <v>86</v>
      </c>
      <c r="D295" s="81" t="s">
        <v>67</v>
      </c>
      <c r="E295" s="81" t="s">
        <v>270</v>
      </c>
      <c r="F295" s="190">
        <v>240</v>
      </c>
      <c r="G295" s="37">
        <f>SUM('[1]МКУ "Редакция"'!BV7:BX7,'[1]МКУ "Редакция"'!BZ7:CI7,'[1]МКУ "Редакция"'!CK7,'[1]МКУ "Редакция"'!CM7:CT7,'[1]МКУ "Редакция"'!CW7:DD7,'[1]МКУ "Редакция"'!DV7,'[1]МКУ "Редакция"'!DY7:EJ7)</f>
        <v>676943.08</v>
      </c>
      <c r="H295" s="52">
        <v>256294</v>
      </c>
      <c r="I295" s="52">
        <f t="shared" si="23"/>
        <v>256294</v>
      </c>
    </row>
    <row r="296" spans="1:9" ht="15" customHeight="1" x14ac:dyDescent="0.2">
      <c r="A296" s="191" t="s">
        <v>336</v>
      </c>
      <c r="B296" s="81" t="s">
        <v>33</v>
      </c>
      <c r="C296" s="192" t="s">
        <v>86</v>
      </c>
      <c r="D296" s="81" t="s">
        <v>67</v>
      </c>
      <c r="E296" s="81" t="s">
        <v>270</v>
      </c>
      <c r="F296" s="190">
        <v>850</v>
      </c>
      <c r="G296" s="37">
        <f>SUM('[1]МКУ "Редакция"'!DK7:DS7,'[1]МКУ "Редакция"'!DU7)</f>
        <v>46784.212</v>
      </c>
      <c r="H296" s="52">
        <f t="shared" si="23"/>
        <v>46784.212</v>
      </c>
      <c r="I296" s="52">
        <f t="shared" si="23"/>
        <v>46784.212</v>
      </c>
    </row>
    <row r="297" spans="1:9" ht="26.25" customHeight="1" x14ac:dyDescent="0.2">
      <c r="A297" s="186" t="s">
        <v>791</v>
      </c>
      <c r="B297" s="187" t="s">
        <v>197</v>
      </c>
      <c r="C297" s="188" t="s">
        <v>86</v>
      </c>
      <c r="D297" s="187" t="s">
        <v>67</v>
      </c>
      <c r="E297" s="187" t="s">
        <v>806</v>
      </c>
      <c r="F297" s="188" t="s">
        <v>219</v>
      </c>
      <c r="G297" s="32">
        <f>G298</f>
        <v>15000</v>
      </c>
      <c r="H297" s="53">
        <f>H298</f>
        <v>15000</v>
      </c>
      <c r="I297" s="53">
        <f>I298</f>
        <v>15000</v>
      </c>
    </row>
    <row r="298" spans="1:9" ht="29.25" customHeight="1" x14ac:dyDescent="0.2">
      <c r="A298" s="191" t="s">
        <v>791</v>
      </c>
      <c r="B298" s="81"/>
      <c r="C298" s="192" t="s">
        <v>86</v>
      </c>
      <c r="D298" s="81" t="s">
        <v>67</v>
      </c>
      <c r="E298" s="81" t="s">
        <v>807</v>
      </c>
      <c r="F298" s="190">
        <v>240</v>
      </c>
      <c r="G298" s="37">
        <f>'[1]МКУ "Редакция"'!CV8</f>
        <v>15000</v>
      </c>
      <c r="H298" s="52">
        <f>G298</f>
        <v>15000</v>
      </c>
      <c r="I298" s="52">
        <f>H298</f>
        <v>15000</v>
      </c>
    </row>
    <row r="299" spans="1:9" ht="38.25" customHeight="1" x14ac:dyDescent="0.2">
      <c r="A299" s="170" t="s">
        <v>380</v>
      </c>
      <c r="B299" s="187" t="s">
        <v>197</v>
      </c>
      <c r="C299" s="188" t="s">
        <v>86</v>
      </c>
      <c r="D299" s="187" t="s">
        <v>67</v>
      </c>
      <c r="E299" s="187" t="s">
        <v>808</v>
      </c>
      <c r="F299" s="188" t="s">
        <v>219</v>
      </c>
      <c r="G299" s="32">
        <f>G300</f>
        <v>28700</v>
      </c>
      <c r="H299" s="53">
        <f>H300</f>
        <v>0</v>
      </c>
      <c r="I299" s="53">
        <f>I300</f>
        <v>0</v>
      </c>
    </row>
    <row r="300" spans="1:9" ht="36" customHeight="1" x14ac:dyDescent="0.2">
      <c r="A300" s="44" t="s">
        <v>380</v>
      </c>
      <c r="B300" s="81"/>
      <c r="C300" s="192" t="s">
        <v>86</v>
      </c>
      <c r="D300" s="81" t="s">
        <v>67</v>
      </c>
      <c r="E300" s="81" t="s">
        <v>809</v>
      </c>
      <c r="F300" s="190">
        <v>240</v>
      </c>
      <c r="G300" s="37">
        <f>SUM('[1]МКУ "Редакция"'!CJ9,'[1]МКУ "Редакция"'!CV9,'[1]МКУ "Редакция"'!DW9)</f>
        <v>28700</v>
      </c>
      <c r="H300" s="52">
        <v>0</v>
      </c>
      <c r="I300" s="52">
        <v>0</v>
      </c>
    </row>
    <row r="301" spans="1:9" ht="15" customHeight="1" x14ac:dyDescent="0.2">
      <c r="A301" s="184" t="s">
        <v>335</v>
      </c>
      <c r="B301" s="187"/>
      <c r="C301" s="188" t="s">
        <v>70</v>
      </c>
      <c r="D301" s="187" t="s">
        <v>66</v>
      </c>
      <c r="E301" s="187" t="s">
        <v>271</v>
      </c>
      <c r="F301" s="188" t="s">
        <v>219</v>
      </c>
      <c r="G301" s="32">
        <f>G302</f>
        <v>3500</v>
      </c>
      <c r="H301" s="32">
        <f>H302</f>
        <v>0</v>
      </c>
      <c r="I301" s="32">
        <f>I302</f>
        <v>0</v>
      </c>
    </row>
    <row r="302" spans="1:9" ht="15" customHeight="1" x14ac:dyDescent="0.2">
      <c r="A302" s="191" t="s">
        <v>335</v>
      </c>
      <c r="B302" s="81" t="s">
        <v>197</v>
      </c>
      <c r="C302" s="192" t="s">
        <v>70</v>
      </c>
      <c r="D302" s="81" t="s">
        <v>66</v>
      </c>
      <c r="E302" s="81" t="s">
        <v>271</v>
      </c>
      <c r="F302" s="190">
        <v>730</v>
      </c>
      <c r="G302" s="37">
        <f>SUM([1]Администрация!BH37)</f>
        <v>3500</v>
      </c>
      <c r="H302" s="37">
        <v>0</v>
      </c>
      <c r="I302" s="37">
        <v>0</v>
      </c>
    </row>
    <row r="303" spans="1:9" ht="15" customHeight="1" x14ac:dyDescent="0.2">
      <c r="A303" s="186" t="s">
        <v>124</v>
      </c>
      <c r="B303" s="187" t="s">
        <v>206</v>
      </c>
      <c r="C303" s="188" t="s">
        <v>187</v>
      </c>
      <c r="D303" s="187" t="s">
        <v>114</v>
      </c>
      <c r="E303" s="187"/>
      <c r="F303" s="189"/>
      <c r="G303" s="32">
        <f>SUM(G304,G306,G308,G310)</f>
        <v>115348999.99999996</v>
      </c>
      <c r="H303" s="32">
        <f>SUM(H304,H306,H308,H310)</f>
        <v>84943000</v>
      </c>
      <c r="I303" s="32">
        <f>SUM(I304,I306,I308,I310)</f>
        <v>84943000</v>
      </c>
    </row>
    <row r="304" spans="1:9" ht="27" customHeight="1" x14ac:dyDescent="0.2">
      <c r="A304" s="184" t="s">
        <v>295</v>
      </c>
      <c r="B304" s="187"/>
      <c r="C304" s="188" t="s">
        <v>187</v>
      </c>
      <c r="D304" s="187" t="s">
        <v>66</v>
      </c>
      <c r="E304" s="187" t="s">
        <v>273</v>
      </c>
      <c r="F304" s="188" t="s">
        <v>219</v>
      </c>
      <c r="G304" s="32">
        <f>G305</f>
        <v>115348999.99999996</v>
      </c>
      <c r="H304" s="32">
        <f>H305</f>
        <v>84943000</v>
      </c>
      <c r="I304" s="32">
        <f>I305</f>
        <v>84943000</v>
      </c>
    </row>
    <row r="305" spans="1:9" ht="25.5" customHeight="1" x14ac:dyDescent="0.2">
      <c r="A305" s="191" t="s">
        <v>295</v>
      </c>
      <c r="B305" s="81" t="s">
        <v>33</v>
      </c>
      <c r="C305" s="192" t="s">
        <v>187</v>
      </c>
      <c r="D305" s="81" t="s">
        <v>66</v>
      </c>
      <c r="E305" s="81" t="s">
        <v>273</v>
      </c>
      <c r="F305" s="190">
        <v>511</v>
      </c>
      <c r="G305" s="37">
        <f>SUM('[1]МКУ "ФУ"'!DE26)</f>
        <v>115348999.99999996</v>
      </c>
      <c r="H305" s="52">
        <v>84943000</v>
      </c>
      <c r="I305" s="52">
        <f>'[1]Доходы прил №1'!G55*1000</f>
        <v>84943000</v>
      </c>
    </row>
    <row r="306" spans="1:9" ht="15" hidden="1" customHeight="1" x14ac:dyDescent="0.2">
      <c r="A306" s="184" t="s">
        <v>0</v>
      </c>
      <c r="B306" s="187"/>
      <c r="C306" s="188" t="s">
        <v>187</v>
      </c>
      <c r="D306" s="187" t="s">
        <v>67</v>
      </c>
      <c r="E306" s="187" t="s">
        <v>753</v>
      </c>
      <c r="F306" s="188" t="s">
        <v>219</v>
      </c>
      <c r="G306" s="32">
        <f>G307</f>
        <v>0</v>
      </c>
      <c r="H306" s="32">
        <f>H307</f>
        <v>0</v>
      </c>
      <c r="I306" s="32">
        <f>I307</f>
        <v>0</v>
      </c>
    </row>
    <row r="307" spans="1:9" ht="15" hidden="1" customHeight="1" x14ac:dyDescent="0.2">
      <c r="A307" s="191" t="s">
        <v>0</v>
      </c>
      <c r="B307" s="81"/>
      <c r="C307" s="192" t="s">
        <v>187</v>
      </c>
      <c r="D307" s="81" t="s">
        <v>67</v>
      </c>
      <c r="E307" s="81" t="s">
        <v>753</v>
      </c>
      <c r="F307" s="190">
        <v>512</v>
      </c>
      <c r="G307" s="37">
        <f>SUM('[1]МКУ "ФУ"'!DE27)</f>
        <v>0</v>
      </c>
      <c r="H307" s="52">
        <v>0</v>
      </c>
      <c r="I307" s="52">
        <v>0</v>
      </c>
    </row>
    <row r="308" spans="1:9" ht="15" hidden="1" customHeight="1" x14ac:dyDescent="0.2">
      <c r="A308" s="186" t="s">
        <v>711</v>
      </c>
      <c r="B308" s="187"/>
      <c r="C308" s="188" t="s">
        <v>187</v>
      </c>
      <c r="D308" s="187" t="s">
        <v>71</v>
      </c>
      <c r="E308" s="187" t="s">
        <v>710</v>
      </c>
      <c r="F308" s="188" t="s">
        <v>219</v>
      </c>
      <c r="G308" s="32">
        <f>G309</f>
        <v>0</v>
      </c>
      <c r="H308" s="32">
        <f>H309</f>
        <v>0</v>
      </c>
      <c r="I308" s="32">
        <f>I309</f>
        <v>0</v>
      </c>
    </row>
    <row r="309" spans="1:9" ht="15" hidden="1" customHeight="1" x14ac:dyDescent="0.2">
      <c r="A309" s="191" t="s">
        <v>711</v>
      </c>
      <c r="B309" s="81"/>
      <c r="C309" s="192" t="s">
        <v>187</v>
      </c>
      <c r="D309" s="81" t="s">
        <v>71</v>
      </c>
      <c r="E309" s="81" t="s">
        <v>710</v>
      </c>
      <c r="F309" s="190">
        <v>540</v>
      </c>
      <c r="G309" s="37">
        <f>SUM('[1]МКУ "ФУ"'!DE28)</f>
        <v>0</v>
      </c>
      <c r="H309" s="52">
        <v>0</v>
      </c>
      <c r="I309" s="52">
        <v>0</v>
      </c>
    </row>
    <row r="310" spans="1:9" ht="15" hidden="1" customHeight="1" x14ac:dyDescent="0.2">
      <c r="A310" s="186" t="s">
        <v>454</v>
      </c>
      <c r="B310" s="187"/>
      <c r="C310" s="188" t="s">
        <v>187</v>
      </c>
      <c r="D310" s="187" t="s">
        <v>71</v>
      </c>
      <c r="E310" s="187" t="s">
        <v>639</v>
      </c>
      <c r="F310" s="188" t="s">
        <v>219</v>
      </c>
      <c r="G310" s="32">
        <f>G311</f>
        <v>0</v>
      </c>
      <c r="H310" s="32">
        <f>H311</f>
        <v>0</v>
      </c>
      <c r="I310" s="32">
        <f>I311</f>
        <v>0</v>
      </c>
    </row>
    <row r="311" spans="1:9" ht="15" hidden="1" customHeight="1" x14ac:dyDescent="0.2">
      <c r="A311" s="191" t="s">
        <v>454</v>
      </c>
      <c r="B311" s="81"/>
      <c r="C311" s="192" t="s">
        <v>187</v>
      </c>
      <c r="D311" s="81" t="s">
        <v>71</v>
      </c>
      <c r="E311" s="81" t="s">
        <v>639</v>
      </c>
      <c r="F311" s="190">
        <v>540</v>
      </c>
      <c r="G311" s="37">
        <f>SUM('[1]МКУ "ФУ"'!DE29)</f>
        <v>0</v>
      </c>
      <c r="H311" s="52">
        <f>G311</f>
        <v>0</v>
      </c>
      <c r="I311" s="52">
        <f>H311</f>
        <v>0</v>
      </c>
    </row>
    <row r="312" spans="1:9" ht="15" customHeight="1" x14ac:dyDescent="0.2">
      <c r="A312" s="186" t="s">
        <v>34</v>
      </c>
      <c r="B312" s="81"/>
      <c r="C312" s="192"/>
      <c r="D312" s="81"/>
      <c r="E312" s="81"/>
      <c r="F312" s="190"/>
      <c r="G312" s="32">
        <f>SUM(G9,G64,G66,G83,G111,G141,G197,G228,G243,G288,G301,G303)</f>
        <v>1372594448.4106033</v>
      </c>
      <c r="H312" s="32">
        <f>SUM(H9,H64,H66,H83,H111,H141,H197,H228,H243,H288,H301,H303)</f>
        <v>1278162487.6081316</v>
      </c>
      <c r="I312" s="32">
        <f>SUM(I9,I64,I66,I83,I111,I141,I197,I228,I243,I288,I301,I303)</f>
        <v>1332416521.1181316</v>
      </c>
    </row>
    <row r="313" spans="1:9" ht="15" customHeight="1" x14ac:dyDescent="0.2">
      <c r="A313" s="200" t="s">
        <v>294</v>
      </c>
      <c r="G313" s="56">
        <f>'[1]Доходы прил №1'!E63*1000-3830500</f>
        <v>1372594448.9100001</v>
      </c>
      <c r="H313" s="56">
        <f>'[1]Доходы прил №1'!F63*1000</f>
        <v>1278162487.1199999</v>
      </c>
      <c r="I313" s="56">
        <f>'[1]Доходы прил №1'!G63*1000</f>
        <v>1332416521.1300001</v>
      </c>
    </row>
    <row r="314" spans="1:9" x14ac:dyDescent="0.2">
      <c r="A314" s="21" t="s">
        <v>319</v>
      </c>
      <c r="G314" s="51"/>
      <c r="H314" s="51"/>
      <c r="I314" s="51"/>
    </row>
    <row r="315" spans="1:9" x14ac:dyDescent="0.2">
      <c r="A315" s="38" t="s">
        <v>320</v>
      </c>
    </row>
    <row r="316" spans="1:9" x14ac:dyDescent="0.2">
      <c r="A316" s="26"/>
      <c r="B316" s="26"/>
      <c r="C316" s="26"/>
      <c r="D316" s="26"/>
      <c r="E316" s="26"/>
      <c r="F316" s="26"/>
      <c r="G316" s="201">
        <f>'[1]Доходы прил №1'!E63*1000-3830500</f>
        <v>1372594448.9100001</v>
      </c>
      <c r="H316" s="201">
        <f>'[1]Доходы прил №1'!F63*1000</f>
        <v>1278162487.1199999</v>
      </c>
      <c r="I316" s="201">
        <f>'[1]Доходы прил №1'!G63*1000</f>
        <v>1332416521.1300001</v>
      </c>
    </row>
    <row r="317" spans="1:9" x14ac:dyDescent="0.2">
      <c r="A317" s="26"/>
      <c r="B317" s="26"/>
      <c r="C317" s="26"/>
      <c r="D317" s="26"/>
      <c r="E317" s="26"/>
      <c r="F317" s="26"/>
      <c r="G317" s="202">
        <f>G316-G312</f>
        <v>0.49939680099487305</v>
      </c>
      <c r="H317" s="202">
        <f>H316-H312</f>
        <v>-0.48813176155090332</v>
      </c>
      <c r="I317" s="202">
        <f>I316-I312</f>
        <v>1.1868476867675781E-2</v>
      </c>
    </row>
    <row r="318" spans="1:9" x14ac:dyDescent="0.2">
      <c r="G318" s="51"/>
    </row>
    <row r="319" spans="1:9" x14ac:dyDescent="0.2">
      <c r="A319" s="38"/>
      <c r="G319" s="51"/>
    </row>
    <row r="320" spans="1:9" x14ac:dyDescent="0.2">
      <c r="G320" s="51"/>
    </row>
    <row r="321" spans="7:7" x14ac:dyDescent="0.2">
      <c r="G321" s="51"/>
    </row>
    <row r="322" spans="7:7" x14ac:dyDescent="0.2">
      <c r="G322" s="51"/>
    </row>
    <row r="323" spans="7:7" x14ac:dyDescent="0.2">
      <c r="G323" s="51"/>
    </row>
    <row r="324" spans="7:7" x14ac:dyDescent="0.2">
      <c r="G324" s="51"/>
    </row>
    <row r="325" spans="7:7" x14ac:dyDescent="0.2">
      <c r="G325" s="51"/>
    </row>
    <row r="326" spans="7:7" x14ac:dyDescent="0.2">
      <c r="G326" s="51"/>
    </row>
    <row r="327" spans="7:7" x14ac:dyDescent="0.2">
      <c r="G327" s="51"/>
    </row>
    <row r="328" spans="7:7" x14ac:dyDescent="0.2">
      <c r="G328" s="51"/>
    </row>
    <row r="329" spans="7:7" x14ac:dyDescent="0.2">
      <c r="G329" s="51"/>
    </row>
    <row r="330" spans="7:7" x14ac:dyDescent="0.2">
      <c r="G330" s="51"/>
    </row>
    <row r="331" spans="7:7" x14ac:dyDescent="0.2">
      <c r="G331" s="51"/>
    </row>
    <row r="332" spans="7:7" x14ac:dyDescent="0.2">
      <c r="G332" s="51"/>
    </row>
    <row r="333" spans="7:7" x14ac:dyDescent="0.2">
      <c r="G333" s="51"/>
    </row>
    <row r="334" spans="7:7" x14ac:dyDescent="0.2">
      <c r="G334" s="51"/>
    </row>
    <row r="335" spans="7:7" x14ac:dyDescent="0.2">
      <c r="G335" s="51"/>
    </row>
    <row r="336" spans="7:7" x14ac:dyDescent="0.2">
      <c r="G336" s="51"/>
    </row>
    <row r="337" spans="7:7" x14ac:dyDescent="0.2">
      <c r="G337" s="51"/>
    </row>
    <row r="338" spans="7:7" x14ac:dyDescent="0.2">
      <c r="G338" s="51"/>
    </row>
    <row r="339" spans="7:7" x14ac:dyDescent="0.2">
      <c r="G339" s="51"/>
    </row>
    <row r="340" spans="7:7" x14ac:dyDescent="0.2">
      <c r="G340" s="51"/>
    </row>
    <row r="341" spans="7:7" x14ac:dyDescent="0.2">
      <c r="G341" s="51"/>
    </row>
    <row r="342" spans="7:7" x14ac:dyDescent="0.2">
      <c r="G342" s="51"/>
    </row>
    <row r="343" spans="7:7" x14ac:dyDescent="0.2">
      <c r="G343" s="51"/>
    </row>
    <row r="344" spans="7:7" x14ac:dyDescent="0.2">
      <c r="G344" s="51"/>
    </row>
    <row r="345" spans="7:7" x14ac:dyDescent="0.2">
      <c r="G345" s="51"/>
    </row>
    <row r="346" spans="7:7" x14ac:dyDescent="0.2">
      <c r="G346" s="51"/>
    </row>
    <row r="347" spans="7:7" x14ac:dyDescent="0.2">
      <c r="G347" s="51"/>
    </row>
    <row r="348" spans="7:7" x14ac:dyDescent="0.2">
      <c r="G348" s="51"/>
    </row>
    <row r="349" spans="7:7" x14ac:dyDescent="0.2">
      <c r="G349" s="51"/>
    </row>
    <row r="350" spans="7:7" x14ac:dyDescent="0.2">
      <c r="G350" s="51"/>
    </row>
    <row r="351" spans="7:7" x14ac:dyDescent="0.2">
      <c r="G351" s="51"/>
    </row>
    <row r="352" spans="7:7" x14ac:dyDescent="0.2">
      <c r="G352" s="51"/>
    </row>
    <row r="353" spans="7:7" x14ac:dyDescent="0.2">
      <c r="G353" s="51"/>
    </row>
    <row r="354" spans="7:7" x14ac:dyDescent="0.2">
      <c r="G354" s="51"/>
    </row>
    <row r="355" spans="7:7" x14ac:dyDescent="0.2">
      <c r="G355" s="51"/>
    </row>
    <row r="356" spans="7:7" x14ac:dyDescent="0.2">
      <c r="G356" s="51"/>
    </row>
    <row r="357" spans="7:7" x14ac:dyDescent="0.2">
      <c r="G357" s="51"/>
    </row>
    <row r="358" spans="7:7" x14ac:dyDescent="0.2">
      <c r="G358" s="51"/>
    </row>
    <row r="359" spans="7:7" x14ac:dyDescent="0.2">
      <c r="G359" s="51"/>
    </row>
    <row r="360" spans="7:7" x14ac:dyDescent="0.2">
      <c r="G360" s="51"/>
    </row>
    <row r="361" spans="7:7" x14ac:dyDescent="0.2">
      <c r="G361" s="51"/>
    </row>
    <row r="362" spans="7:7" x14ac:dyDescent="0.2">
      <c r="G362" s="51"/>
    </row>
    <row r="363" spans="7:7" x14ac:dyDescent="0.2">
      <c r="G363" s="51"/>
    </row>
    <row r="364" spans="7:7" x14ac:dyDescent="0.2">
      <c r="G364" s="51"/>
    </row>
    <row r="365" spans="7:7" x14ac:dyDescent="0.2">
      <c r="G365" s="51"/>
    </row>
    <row r="366" spans="7:7" x14ac:dyDescent="0.2">
      <c r="G366" s="51"/>
    </row>
    <row r="367" spans="7:7" x14ac:dyDescent="0.2">
      <c r="G367" s="51"/>
    </row>
    <row r="368" spans="7:7" x14ac:dyDescent="0.2">
      <c r="G368" s="51"/>
    </row>
    <row r="369" spans="7:7" x14ac:dyDescent="0.2">
      <c r="G369" s="51"/>
    </row>
    <row r="370" spans="7:7" x14ac:dyDescent="0.2">
      <c r="G370" s="51"/>
    </row>
    <row r="371" spans="7:7" x14ac:dyDescent="0.2">
      <c r="G371" s="51"/>
    </row>
    <row r="372" spans="7:7" x14ac:dyDescent="0.2">
      <c r="G372" s="51"/>
    </row>
    <row r="373" spans="7:7" x14ac:dyDescent="0.2">
      <c r="G373" s="51"/>
    </row>
    <row r="374" spans="7:7" x14ac:dyDescent="0.2">
      <c r="G374" s="51"/>
    </row>
    <row r="375" spans="7:7" x14ac:dyDescent="0.2">
      <c r="G375" s="51"/>
    </row>
    <row r="376" spans="7:7" x14ac:dyDescent="0.2">
      <c r="G376" s="51"/>
    </row>
    <row r="377" spans="7:7" x14ac:dyDescent="0.2">
      <c r="G377" s="51"/>
    </row>
    <row r="378" spans="7:7" x14ac:dyDescent="0.2">
      <c r="G378" s="51"/>
    </row>
    <row r="379" spans="7:7" x14ac:dyDescent="0.2">
      <c r="G379" s="51"/>
    </row>
    <row r="380" spans="7:7" x14ac:dyDescent="0.2">
      <c r="G380" s="51"/>
    </row>
    <row r="381" spans="7:7" x14ac:dyDescent="0.2">
      <c r="G381" s="51"/>
    </row>
    <row r="382" spans="7:7" x14ac:dyDescent="0.2">
      <c r="G382" s="51"/>
    </row>
    <row r="383" spans="7:7" x14ac:dyDescent="0.2">
      <c r="G383" s="51"/>
    </row>
    <row r="384" spans="7:7" x14ac:dyDescent="0.2">
      <c r="G384" s="51"/>
    </row>
    <row r="385" spans="7:7" x14ac:dyDescent="0.2">
      <c r="G385" s="51"/>
    </row>
    <row r="386" spans="7:7" x14ac:dyDescent="0.2">
      <c r="G386" s="51"/>
    </row>
    <row r="387" spans="7:7" x14ac:dyDescent="0.2">
      <c r="G387" s="51"/>
    </row>
    <row r="388" spans="7:7" x14ac:dyDescent="0.2">
      <c r="G388" s="51"/>
    </row>
    <row r="389" spans="7:7" x14ac:dyDescent="0.2">
      <c r="G389" s="51"/>
    </row>
    <row r="390" spans="7:7" x14ac:dyDescent="0.2">
      <c r="G390" s="51"/>
    </row>
    <row r="391" spans="7:7" x14ac:dyDescent="0.2">
      <c r="G391" s="51"/>
    </row>
    <row r="392" spans="7:7" x14ac:dyDescent="0.2">
      <c r="G392" s="51"/>
    </row>
    <row r="393" spans="7:7" x14ac:dyDescent="0.2">
      <c r="G393" s="51"/>
    </row>
    <row r="394" spans="7:7" x14ac:dyDescent="0.2">
      <c r="G394" s="51"/>
    </row>
    <row r="395" spans="7:7" x14ac:dyDescent="0.2">
      <c r="G395" s="51"/>
    </row>
    <row r="396" spans="7:7" x14ac:dyDescent="0.2">
      <c r="G396" s="51"/>
    </row>
    <row r="397" spans="7:7" x14ac:dyDescent="0.2">
      <c r="G397" s="51"/>
    </row>
    <row r="398" spans="7:7" x14ac:dyDescent="0.2">
      <c r="G398" s="51"/>
    </row>
    <row r="399" spans="7:7" x14ac:dyDescent="0.2">
      <c r="G399" s="51"/>
    </row>
    <row r="400" spans="7:7" x14ac:dyDescent="0.2">
      <c r="G400" s="51"/>
    </row>
    <row r="401" spans="7:7" x14ac:dyDescent="0.2">
      <c r="G401" s="51"/>
    </row>
    <row r="402" spans="7:7" x14ac:dyDescent="0.2">
      <c r="G402" s="51"/>
    </row>
    <row r="403" spans="7:7" x14ac:dyDescent="0.2">
      <c r="G403" s="51"/>
    </row>
    <row r="404" spans="7:7" x14ac:dyDescent="0.2">
      <c r="G404" s="51"/>
    </row>
    <row r="405" spans="7:7" x14ac:dyDescent="0.2">
      <c r="G405" s="51"/>
    </row>
    <row r="406" spans="7:7" x14ac:dyDescent="0.2">
      <c r="G406" s="51"/>
    </row>
    <row r="407" spans="7:7" x14ac:dyDescent="0.2">
      <c r="G407" s="51"/>
    </row>
    <row r="408" spans="7:7" x14ac:dyDescent="0.2">
      <c r="G408" s="51"/>
    </row>
    <row r="409" spans="7:7" x14ac:dyDescent="0.2">
      <c r="G409" s="51"/>
    </row>
    <row r="410" spans="7:7" x14ac:dyDescent="0.2">
      <c r="G410" s="51"/>
    </row>
    <row r="411" spans="7:7" x14ac:dyDescent="0.2">
      <c r="G411" s="51"/>
    </row>
  </sheetData>
  <autoFilter ref="A7:I294" xr:uid="{00000000-0009-0000-0000-000001000000}"/>
  <mergeCells count="4">
    <mergeCell ref="A2:I2"/>
    <mergeCell ref="A3:I3"/>
    <mergeCell ref="A4:I4"/>
    <mergeCell ref="A1:I1"/>
  </mergeCells>
  <phoneticPr fontId="0" type="noConversion"/>
  <pageMargins left="0.59055118110236227" right="0.19685039370078741" top="0.27559055118110237" bottom="0.15748031496062992" header="0.23622047244094491" footer="0.15748031496062992"/>
  <pageSetup paperSize="9" scale="82" fitToHeight="7" orientation="portrait" r:id="rId1"/>
  <headerFooter alignWithMargins="0"/>
  <rowBreaks count="2" manualBreakCount="2">
    <brk id="202" max="8" man="1"/>
    <brk id="231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K47"/>
  <sheetViews>
    <sheetView zoomScaleNormal="100" workbookViewId="0">
      <selection activeCell="M32" sqref="M32"/>
    </sheetView>
  </sheetViews>
  <sheetFormatPr defaultRowHeight="12.75" x14ac:dyDescent="0.2"/>
  <cols>
    <col min="1" max="1" width="4.28515625" customWidth="1"/>
    <col min="2" max="2" width="25.7109375" customWidth="1"/>
    <col min="3" max="3" width="10.140625" bestFit="1" customWidth="1"/>
    <col min="4" max="5" width="10.5703125" customWidth="1"/>
    <col min="6" max="6" width="10.42578125" customWidth="1"/>
    <col min="7" max="7" width="12" customWidth="1"/>
    <col min="8" max="8" width="12.5703125" customWidth="1"/>
    <col min="10" max="10" width="10.140625" bestFit="1" customWidth="1"/>
  </cols>
  <sheetData>
    <row r="1" spans="1:8" x14ac:dyDescent="0.2">
      <c r="A1" s="461" t="s">
        <v>880</v>
      </c>
      <c r="B1" s="461"/>
      <c r="C1" s="461"/>
      <c r="D1" s="461"/>
      <c r="E1" s="461"/>
      <c r="F1" s="461"/>
      <c r="G1" s="461"/>
      <c r="H1" s="461"/>
    </row>
    <row r="2" spans="1:8" x14ac:dyDescent="0.2">
      <c r="A2" s="461" t="s">
        <v>81</v>
      </c>
      <c r="B2" s="461"/>
      <c r="C2" s="461"/>
      <c r="D2" s="461"/>
      <c r="E2" s="461"/>
      <c r="F2" s="461"/>
      <c r="G2" s="461"/>
      <c r="H2" s="461"/>
    </row>
    <row r="3" spans="1:8" x14ac:dyDescent="0.2">
      <c r="A3" s="461" t="s">
        <v>881</v>
      </c>
      <c r="B3" s="461"/>
      <c r="C3" s="461"/>
      <c r="D3" s="461"/>
      <c r="E3" s="461"/>
      <c r="F3" s="461"/>
      <c r="G3" s="461"/>
      <c r="H3" s="461"/>
    </row>
    <row r="4" spans="1:8" x14ac:dyDescent="0.2">
      <c r="A4" s="418" t="s">
        <v>448</v>
      </c>
      <c r="B4" s="418"/>
      <c r="C4" s="418"/>
      <c r="D4" s="418"/>
      <c r="E4" s="418"/>
      <c r="F4" s="418"/>
      <c r="G4" s="418"/>
      <c r="H4" s="418"/>
    </row>
    <row r="5" spans="1:8" x14ac:dyDescent="0.2">
      <c r="A5" s="418" t="s">
        <v>152</v>
      </c>
      <c r="B5" s="418"/>
      <c r="C5" s="418"/>
      <c r="D5" s="418"/>
      <c r="E5" s="418"/>
      <c r="F5" s="418"/>
      <c r="G5" s="418"/>
      <c r="H5" s="418"/>
    </row>
    <row r="6" spans="1:8" x14ac:dyDescent="0.2">
      <c r="A6" s="418" t="s">
        <v>856</v>
      </c>
      <c r="B6" s="418"/>
      <c r="C6" s="418"/>
      <c r="D6" s="418"/>
      <c r="E6" s="418"/>
      <c r="F6" s="418"/>
      <c r="G6" s="418"/>
      <c r="H6" s="418"/>
    </row>
    <row r="7" spans="1:8" x14ac:dyDescent="0.2">
      <c r="A7" s="418"/>
      <c r="B7" s="418"/>
      <c r="C7" s="418"/>
      <c r="D7" s="418"/>
      <c r="E7" s="418"/>
      <c r="F7" s="418"/>
      <c r="G7" s="418"/>
      <c r="H7" s="418"/>
    </row>
    <row r="8" spans="1:8" x14ac:dyDescent="0.2">
      <c r="A8" s="158"/>
      <c r="B8" s="462"/>
      <c r="C8" s="462"/>
      <c r="D8" s="462"/>
      <c r="E8" s="462"/>
      <c r="F8" s="462"/>
      <c r="G8" s="462"/>
      <c r="H8" s="462"/>
    </row>
    <row r="9" spans="1:8" ht="12.75" hidden="1" customHeight="1" x14ac:dyDescent="0.2">
      <c r="A9" s="463" t="s">
        <v>45</v>
      </c>
      <c r="B9" s="463" t="s">
        <v>28</v>
      </c>
      <c r="C9" s="463" t="s">
        <v>449</v>
      </c>
      <c r="D9" s="463" t="s">
        <v>453</v>
      </c>
      <c r="E9" s="463"/>
      <c r="F9" s="463"/>
      <c r="G9" s="463"/>
      <c r="H9" s="463"/>
    </row>
    <row r="10" spans="1:8" ht="38.25" hidden="1" customHeight="1" x14ac:dyDescent="0.2">
      <c r="A10" s="463"/>
      <c r="B10" s="463"/>
      <c r="C10" s="463"/>
      <c r="D10" s="271" t="s">
        <v>857</v>
      </c>
      <c r="E10" s="235" t="s">
        <v>450</v>
      </c>
      <c r="F10" s="352" t="s">
        <v>451</v>
      </c>
      <c r="G10" s="353" t="s">
        <v>617</v>
      </c>
      <c r="H10" s="353" t="s">
        <v>858</v>
      </c>
    </row>
    <row r="11" spans="1:8" x14ac:dyDescent="0.2">
      <c r="A11" s="232">
        <v>1</v>
      </c>
      <c r="B11" s="75" t="s">
        <v>522</v>
      </c>
      <c r="C11" s="233">
        <f>[1]Школы!BG9</f>
        <v>20</v>
      </c>
      <c r="D11" s="234">
        <f>E11+F11</f>
        <v>1567740.5493012553</v>
      </c>
      <c r="E11" s="234">
        <f>[1]Школы!EZ9</f>
        <v>1204101.8043788443</v>
      </c>
      <c r="F11" s="234">
        <f>[1]Школы!FF9</f>
        <v>363638.74492241099</v>
      </c>
      <c r="G11" s="341">
        <f>D11</f>
        <v>1567740.5493012553</v>
      </c>
      <c r="H11" s="341">
        <f>D11</f>
        <v>1567740.5493012553</v>
      </c>
    </row>
    <row r="12" spans="1:8" x14ac:dyDescent="0.2">
      <c r="A12" s="150">
        <v>2</v>
      </c>
      <c r="B12" s="75" t="s">
        <v>419</v>
      </c>
      <c r="C12" s="233">
        <f>[1]Школы!BG10</f>
        <v>20</v>
      </c>
      <c r="D12" s="234">
        <f t="shared" ref="D12:D41" si="0">E12+F12</f>
        <v>1581850.2142449664</v>
      </c>
      <c r="E12" s="234">
        <f>[1]Школы!EZ10</f>
        <v>1214938.7206182538</v>
      </c>
      <c r="F12" s="234">
        <f>[1]Школы!FF10</f>
        <v>366911.49362671265</v>
      </c>
      <c r="G12" s="341">
        <f t="shared" ref="G12:G41" si="1">D12</f>
        <v>1581850.2142449664</v>
      </c>
      <c r="H12" s="341">
        <f t="shared" ref="H12:H41" si="2">D12</f>
        <v>1581850.2142449664</v>
      </c>
    </row>
    <row r="13" spans="1:8" x14ac:dyDescent="0.2">
      <c r="A13" s="150">
        <v>3</v>
      </c>
      <c r="B13" s="75" t="s">
        <v>422</v>
      </c>
      <c r="C13" s="233">
        <f>[1]Школы!BG11</f>
        <v>21</v>
      </c>
      <c r="D13" s="234">
        <f t="shared" si="0"/>
        <v>1660942.7249572147</v>
      </c>
      <c r="E13" s="234">
        <f>[1]Школы!EZ11</f>
        <v>1275685.6566491665</v>
      </c>
      <c r="F13" s="234">
        <f>[1]Школы!FF11</f>
        <v>385257.06830804824</v>
      </c>
      <c r="G13" s="341">
        <f t="shared" si="1"/>
        <v>1660942.7249572147</v>
      </c>
      <c r="H13" s="341">
        <f t="shared" si="2"/>
        <v>1660942.7249572147</v>
      </c>
    </row>
    <row r="14" spans="1:8" x14ac:dyDescent="0.2">
      <c r="A14" s="150">
        <v>4</v>
      </c>
      <c r="B14" s="75" t="s">
        <v>523</v>
      </c>
      <c r="C14" s="233">
        <f>[1]Школы!BG12</f>
        <v>28</v>
      </c>
      <c r="D14" s="234">
        <f t="shared" si="0"/>
        <v>2194836.7690217579</v>
      </c>
      <c r="E14" s="234">
        <f>[1]Школы!EZ12</f>
        <v>1685742.5261303822</v>
      </c>
      <c r="F14" s="234">
        <f>[1]Школы!FF12</f>
        <v>509094.24289137544</v>
      </c>
      <c r="G14" s="341">
        <f t="shared" si="1"/>
        <v>2194836.7690217579</v>
      </c>
      <c r="H14" s="341">
        <f t="shared" si="2"/>
        <v>2194836.7690217579</v>
      </c>
    </row>
    <row r="15" spans="1:8" x14ac:dyDescent="0.2">
      <c r="A15" s="150">
        <v>5</v>
      </c>
      <c r="B15" s="75" t="s">
        <v>429</v>
      </c>
      <c r="C15" s="233">
        <f>[1]Школы!BG13</f>
        <v>36</v>
      </c>
      <c r="D15" s="234">
        <f t="shared" si="0"/>
        <v>2821932.9887422598</v>
      </c>
      <c r="E15" s="234">
        <f>[1]Школы!EZ13</f>
        <v>2167383.2478819201</v>
      </c>
      <c r="F15" s="234">
        <f>[1]Школы!FF13</f>
        <v>654549.74086033984</v>
      </c>
      <c r="G15" s="341">
        <f t="shared" si="1"/>
        <v>2821932.9887422598</v>
      </c>
      <c r="H15" s="341">
        <f t="shared" si="2"/>
        <v>2821932.9887422598</v>
      </c>
    </row>
    <row r="16" spans="1:8" x14ac:dyDescent="0.2">
      <c r="A16" s="150">
        <v>6</v>
      </c>
      <c r="B16" s="75" t="s">
        <v>430</v>
      </c>
      <c r="C16" s="233">
        <f>[1]Школы!BG14</f>
        <v>35</v>
      </c>
      <c r="D16" s="234">
        <f t="shared" si="0"/>
        <v>2743545.9612771971</v>
      </c>
      <c r="E16" s="234">
        <f>[1]Школы!EZ14</f>
        <v>2107178.1576629779</v>
      </c>
      <c r="F16" s="234">
        <f>[1]Школы!FF14</f>
        <v>636367.8036142193</v>
      </c>
      <c r="G16" s="341">
        <f t="shared" si="1"/>
        <v>2743545.9612771971</v>
      </c>
      <c r="H16" s="341">
        <f t="shared" si="2"/>
        <v>2743545.9612771971</v>
      </c>
    </row>
    <row r="17" spans="1:8" x14ac:dyDescent="0.2">
      <c r="A17" s="150">
        <v>7</v>
      </c>
      <c r="B17" s="75" t="s">
        <v>431</v>
      </c>
      <c r="C17" s="233">
        <f>[1]Школы!BG15</f>
        <v>11</v>
      </c>
      <c r="D17" s="234">
        <f t="shared" si="0"/>
        <v>862257.30211569043</v>
      </c>
      <c r="E17" s="234">
        <f>[1]Школы!EZ15</f>
        <v>662255.99240836443</v>
      </c>
      <c r="F17" s="234">
        <f>[1]Школы!FF15</f>
        <v>200001.30970732606</v>
      </c>
      <c r="G17" s="341">
        <f t="shared" si="1"/>
        <v>862257.30211569043</v>
      </c>
      <c r="H17" s="341">
        <f t="shared" si="2"/>
        <v>862257.30211569043</v>
      </c>
    </row>
    <row r="18" spans="1:8" x14ac:dyDescent="0.2">
      <c r="A18" s="150">
        <v>8</v>
      </c>
      <c r="B18" s="75" t="s">
        <v>424</v>
      </c>
      <c r="C18" s="233">
        <f>[1]Школы!BG16</f>
        <v>20</v>
      </c>
      <c r="D18" s="234">
        <f t="shared" si="0"/>
        <v>1581850.2142449664</v>
      </c>
      <c r="E18" s="234">
        <f>[1]Школы!EZ16</f>
        <v>1214938.7206182538</v>
      </c>
      <c r="F18" s="234">
        <f>[1]Школы!FF16</f>
        <v>366911.49362671265</v>
      </c>
      <c r="G18" s="341">
        <f t="shared" si="1"/>
        <v>1581850.2142449664</v>
      </c>
      <c r="H18" s="341">
        <f t="shared" si="2"/>
        <v>1581850.2142449664</v>
      </c>
    </row>
    <row r="19" spans="1:8" x14ac:dyDescent="0.2">
      <c r="A19" s="150">
        <v>9</v>
      </c>
      <c r="B19" s="75" t="s">
        <v>433</v>
      </c>
      <c r="C19" s="233">
        <f>[1]Школы!BG17</f>
        <v>25</v>
      </c>
      <c r="D19" s="234">
        <f t="shared" si="0"/>
        <v>1977312.767806208</v>
      </c>
      <c r="E19" s="234">
        <f>[1]Школы!EZ17</f>
        <v>1518673.4007728172</v>
      </c>
      <c r="F19" s="234">
        <f>[1]Школы!FF17</f>
        <v>458639.36703339079</v>
      </c>
      <c r="G19" s="341">
        <f t="shared" si="1"/>
        <v>1977312.767806208</v>
      </c>
      <c r="H19" s="341">
        <f t="shared" si="2"/>
        <v>1977312.767806208</v>
      </c>
    </row>
    <row r="20" spans="1:8" x14ac:dyDescent="0.2">
      <c r="A20" s="150">
        <v>10</v>
      </c>
      <c r="B20" s="75" t="s">
        <v>526</v>
      </c>
      <c r="C20" s="233">
        <f>[1]Школы!BG18</f>
        <v>11</v>
      </c>
      <c r="D20" s="234">
        <f t="shared" si="0"/>
        <v>870017.61783473147</v>
      </c>
      <c r="E20" s="234">
        <f>[1]Школы!EZ18</f>
        <v>668216.29634003958</v>
      </c>
      <c r="F20" s="234">
        <f>[1]Школы!FF18</f>
        <v>201801.32149469192</v>
      </c>
      <c r="G20" s="341">
        <f t="shared" si="1"/>
        <v>870017.61783473147</v>
      </c>
      <c r="H20" s="341">
        <f t="shared" si="2"/>
        <v>870017.61783473147</v>
      </c>
    </row>
    <row r="21" spans="1:8" x14ac:dyDescent="0.2">
      <c r="A21" s="150">
        <v>11</v>
      </c>
      <c r="B21" s="75" t="s">
        <v>525</v>
      </c>
      <c r="C21" s="233">
        <f>[1]Школы!BG19</f>
        <v>18</v>
      </c>
      <c r="D21" s="234">
        <f t="shared" si="0"/>
        <v>1410966.4943711299</v>
      </c>
      <c r="E21" s="234">
        <f>[1]Школы!EZ19</f>
        <v>1083691.62394096</v>
      </c>
      <c r="F21" s="234">
        <f>[1]Школы!FF19</f>
        <v>327274.87043016992</v>
      </c>
      <c r="G21" s="341">
        <f t="shared" si="1"/>
        <v>1410966.4943711299</v>
      </c>
      <c r="H21" s="341">
        <f t="shared" si="2"/>
        <v>1410966.4943711299</v>
      </c>
    </row>
    <row r="22" spans="1:8" x14ac:dyDescent="0.2">
      <c r="A22" s="150">
        <v>12</v>
      </c>
      <c r="B22" s="75" t="s">
        <v>426</v>
      </c>
      <c r="C22" s="233">
        <f>[1]Школы!BG20</f>
        <v>25</v>
      </c>
      <c r="D22" s="234">
        <f t="shared" si="0"/>
        <v>1959675.6866265694</v>
      </c>
      <c r="E22" s="234">
        <f>[1]Школы!EZ20</f>
        <v>1505127.2554735555</v>
      </c>
      <c r="F22" s="234">
        <f>[1]Школы!FF20</f>
        <v>454548.43115301378</v>
      </c>
      <c r="G22" s="341">
        <f t="shared" si="1"/>
        <v>1959675.6866265694</v>
      </c>
      <c r="H22" s="341">
        <f t="shared" si="2"/>
        <v>1959675.6866265694</v>
      </c>
    </row>
    <row r="23" spans="1:8" x14ac:dyDescent="0.2">
      <c r="A23" s="150">
        <v>13</v>
      </c>
      <c r="B23" s="75" t="s">
        <v>427</v>
      </c>
      <c r="C23" s="233">
        <f>[1]Школы!BG21</f>
        <v>11</v>
      </c>
      <c r="D23" s="234">
        <f t="shared" si="0"/>
        <v>862257.30211569043</v>
      </c>
      <c r="E23" s="234">
        <f>[1]Школы!EZ21</f>
        <v>662255.99240836443</v>
      </c>
      <c r="F23" s="234">
        <f>[1]Школы!FF21</f>
        <v>200001.30970732606</v>
      </c>
      <c r="G23" s="341">
        <f t="shared" si="1"/>
        <v>862257.30211569043</v>
      </c>
      <c r="H23" s="341">
        <f t="shared" si="2"/>
        <v>862257.30211569043</v>
      </c>
    </row>
    <row r="24" spans="1:8" x14ac:dyDescent="0.2">
      <c r="A24" s="150">
        <v>14</v>
      </c>
      <c r="B24" s="75" t="s">
        <v>432</v>
      </c>
      <c r="C24" s="233">
        <f>[1]Школы!BG22</f>
        <v>25</v>
      </c>
      <c r="D24" s="234">
        <f t="shared" si="0"/>
        <v>1959675.6866265694</v>
      </c>
      <c r="E24" s="234">
        <f>[1]Школы!EZ22</f>
        <v>1505127.2554735555</v>
      </c>
      <c r="F24" s="234">
        <f>[1]Школы!FF22</f>
        <v>454548.43115301378</v>
      </c>
      <c r="G24" s="341">
        <f t="shared" si="1"/>
        <v>1959675.6866265694</v>
      </c>
      <c r="H24" s="341">
        <f t="shared" si="2"/>
        <v>1959675.6866265694</v>
      </c>
    </row>
    <row r="25" spans="1:8" x14ac:dyDescent="0.2">
      <c r="A25" s="150">
        <v>15</v>
      </c>
      <c r="B25" s="75" t="s">
        <v>423</v>
      </c>
      <c r="C25" s="233">
        <f>[1]Школы!BG23</f>
        <v>9</v>
      </c>
      <c r="D25" s="234">
        <f t="shared" si="0"/>
        <v>711832.59641023504</v>
      </c>
      <c r="E25" s="234">
        <f>[1]Школы!EZ23</f>
        <v>546722.42427821434</v>
      </c>
      <c r="F25" s="234">
        <f>[1]Школы!FF23</f>
        <v>165110.17213202073</v>
      </c>
      <c r="G25" s="341">
        <f t="shared" si="1"/>
        <v>711832.59641023504</v>
      </c>
      <c r="H25" s="341">
        <f t="shared" si="2"/>
        <v>711832.59641023504</v>
      </c>
    </row>
    <row r="26" spans="1:8" x14ac:dyDescent="0.2">
      <c r="A26" s="150">
        <v>16</v>
      </c>
      <c r="B26" s="75" t="s">
        <v>520</v>
      </c>
      <c r="C26" s="233">
        <f>[1]Школы!BG24</f>
        <v>11</v>
      </c>
      <c r="D26" s="234">
        <f t="shared" si="0"/>
        <v>862257.30211569043</v>
      </c>
      <c r="E26" s="234">
        <f>[1]Школы!EZ24</f>
        <v>662255.99240836443</v>
      </c>
      <c r="F26" s="234">
        <f>[1]Школы!FF24</f>
        <v>200001.30970732606</v>
      </c>
      <c r="G26" s="341">
        <f t="shared" si="1"/>
        <v>862257.30211569043</v>
      </c>
      <c r="H26" s="341">
        <f t="shared" si="2"/>
        <v>862257.30211569043</v>
      </c>
    </row>
    <row r="27" spans="1:8" x14ac:dyDescent="0.2">
      <c r="A27" s="150">
        <v>17</v>
      </c>
      <c r="B27" s="75" t="s">
        <v>428</v>
      </c>
      <c r="C27" s="233">
        <f>[1]Школы!BG25</f>
        <v>28</v>
      </c>
      <c r="D27" s="234">
        <f t="shared" si="0"/>
        <v>2194836.7690217579</v>
      </c>
      <c r="E27" s="234">
        <f>[1]Школы!EZ25</f>
        <v>1685742.5261303822</v>
      </c>
      <c r="F27" s="234">
        <f>[1]Школы!FF25</f>
        <v>509094.24289137544</v>
      </c>
      <c r="G27" s="341">
        <f t="shared" si="1"/>
        <v>2194836.7690217579</v>
      </c>
      <c r="H27" s="341">
        <f t="shared" si="2"/>
        <v>2194836.7690217579</v>
      </c>
    </row>
    <row r="28" spans="1:8" x14ac:dyDescent="0.2">
      <c r="A28" s="150">
        <v>18</v>
      </c>
      <c r="B28" s="75" t="s">
        <v>521</v>
      </c>
      <c r="C28" s="233">
        <f>[1]Школы!BG26</f>
        <v>10</v>
      </c>
      <c r="D28" s="234">
        <f t="shared" si="0"/>
        <v>790925.1071224832</v>
      </c>
      <c r="E28" s="234">
        <f>[1]Школы!EZ26</f>
        <v>607469.3603091269</v>
      </c>
      <c r="F28" s="234">
        <f>[1]Школы!FF26</f>
        <v>183455.74681335632</v>
      </c>
      <c r="G28" s="341">
        <f t="shared" si="1"/>
        <v>790925.1071224832</v>
      </c>
      <c r="H28" s="341">
        <f t="shared" si="2"/>
        <v>790925.1071224832</v>
      </c>
    </row>
    <row r="29" spans="1:8" x14ac:dyDescent="0.2">
      <c r="A29" s="150">
        <v>19</v>
      </c>
      <c r="B29" s="75" t="s">
        <v>425</v>
      </c>
      <c r="C29" s="233">
        <f>[1]Школы!BG27</f>
        <v>11</v>
      </c>
      <c r="D29" s="234">
        <f t="shared" si="0"/>
        <v>870017.61783473147</v>
      </c>
      <c r="E29" s="234">
        <f>[1]Школы!EZ27</f>
        <v>668216.29634003958</v>
      </c>
      <c r="F29" s="234">
        <f>[1]Школы!FF27</f>
        <v>201801.32149469192</v>
      </c>
      <c r="G29" s="341">
        <f t="shared" si="1"/>
        <v>870017.61783473147</v>
      </c>
      <c r="H29" s="341">
        <f t="shared" si="2"/>
        <v>870017.61783473147</v>
      </c>
    </row>
    <row r="30" spans="1:8" x14ac:dyDescent="0.2">
      <c r="A30" s="150">
        <v>20</v>
      </c>
      <c r="B30" s="75" t="s">
        <v>524</v>
      </c>
      <c r="C30" s="233">
        <f>[1]Школы!BG28</f>
        <v>11</v>
      </c>
      <c r="D30" s="234">
        <f t="shared" si="0"/>
        <v>862257.30211569043</v>
      </c>
      <c r="E30" s="234">
        <f>[1]Школы!EZ28</f>
        <v>662255.99240836443</v>
      </c>
      <c r="F30" s="234">
        <f>[1]Школы!FF28</f>
        <v>200001.30970732606</v>
      </c>
      <c r="G30" s="341">
        <f t="shared" si="1"/>
        <v>862257.30211569043</v>
      </c>
      <c r="H30" s="341">
        <f t="shared" si="2"/>
        <v>862257.30211569043</v>
      </c>
    </row>
    <row r="31" spans="1:8" x14ac:dyDescent="0.2">
      <c r="A31" s="150">
        <v>21</v>
      </c>
      <c r="B31" s="75" t="s">
        <v>528</v>
      </c>
      <c r="C31" s="233">
        <f>[1]Школы!BG30</f>
        <v>9</v>
      </c>
      <c r="D31" s="234">
        <f t="shared" si="0"/>
        <v>711832.59641023504</v>
      </c>
      <c r="E31" s="234">
        <f>[1]Школы!EZ30</f>
        <v>546722.42427821434</v>
      </c>
      <c r="F31" s="234">
        <f>[1]Школы!FF30</f>
        <v>165110.17213202073</v>
      </c>
      <c r="G31" s="341">
        <f t="shared" si="1"/>
        <v>711832.59641023504</v>
      </c>
      <c r="H31" s="341">
        <f t="shared" si="2"/>
        <v>711832.59641023504</v>
      </c>
    </row>
    <row r="32" spans="1:8" ht="24" x14ac:dyDescent="0.2">
      <c r="A32" s="150">
        <v>22</v>
      </c>
      <c r="B32" s="75" t="s">
        <v>443</v>
      </c>
      <c r="C32" s="233">
        <f>[1]Школы!BG31</f>
        <v>9</v>
      </c>
      <c r="D32" s="234">
        <f t="shared" si="0"/>
        <v>705483.24718556495</v>
      </c>
      <c r="E32" s="234">
        <f>[1]Школы!EZ31</f>
        <v>541845.81197048002</v>
      </c>
      <c r="F32" s="234">
        <f>[1]Школы!FF31</f>
        <v>163637.43521508496</v>
      </c>
      <c r="G32" s="341">
        <f t="shared" si="1"/>
        <v>705483.24718556495</v>
      </c>
      <c r="H32" s="341">
        <f t="shared" si="2"/>
        <v>705483.24718556495</v>
      </c>
    </row>
    <row r="33" spans="1:11" x14ac:dyDescent="0.2">
      <c r="A33" s="150">
        <v>23</v>
      </c>
      <c r="B33" s="75" t="s">
        <v>444</v>
      </c>
      <c r="C33" s="233">
        <f>[1]Школы!BG32</f>
        <v>9</v>
      </c>
      <c r="D33" s="234">
        <f t="shared" si="0"/>
        <v>711832.59641023504</v>
      </c>
      <c r="E33" s="234">
        <f>[1]Школы!EZ32</f>
        <v>546722.42427821434</v>
      </c>
      <c r="F33" s="234">
        <f>[1]Школы!FF32</f>
        <v>165110.17213202073</v>
      </c>
      <c r="G33" s="341">
        <f t="shared" si="1"/>
        <v>711832.59641023504</v>
      </c>
      <c r="H33" s="341">
        <f t="shared" si="2"/>
        <v>711832.59641023504</v>
      </c>
    </row>
    <row r="34" spans="1:11" x14ac:dyDescent="0.2">
      <c r="A34" s="150">
        <v>24</v>
      </c>
      <c r="B34" s="75" t="s">
        <v>615</v>
      </c>
      <c r="C34" s="233">
        <f>[1]Школы!BG33</f>
        <v>11</v>
      </c>
      <c r="D34" s="234">
        <f t="shared" si="0"/>
        <v>862257.30211569043</v>
      </c>
      <c r="E34" s="234">
        <f>[1]Школы!EZ33</f>
        <v>662255.99240836443</v>
      </c>
      <c r="F34" s="234">
        <f>[1]Школы!FF33</f>
        <v>200001.30970732606</v>
      </c>
      <c r="G34" s="341">
        <f t="shared" si="1"/>
        <v>862257.30211569043</v>
      </c>
      <c r="H34" s="341">
        <f t="shared" si="2"/>
        <v>862257.30211569043</v>
      </c>
    </row>
    <row r="35" spans="1:11" x14ac:dyDescent="0.2">
      <c r="A35" s="150">
        <v>25</v>
      </c>
      <c r="B35" s="75" t="s">
        <v>616</v>
      </c>
      <c r="C35" s="233">
        <f>[1]Школы!BG34</f>
        <v>9</v>
      </c>
      <c r="D35" s="234">
        <f t="shared" si="0"/>
        <v>711832.59641023504</v>
      </c>
      <c r="E35" s="234">
        <f>[1]Школы!EZ34</f>
        <v>546722.42427821434</v>
      </c>
      <c r="F35" s="234">
        <f>[1]Школы!FF34</f>
        <v>165110.17213202073</v>
      </c>
      <c r="G35" s="341">
        <f t="shared" si="1"/>
        <v>711832.59641023504</v>
      </c>
      <c r="H35" s="341">
        <f t="shared" si="2"/>
        <v>711832.59641023504</v>
      </c>
    </row>
    <row r="36" spans="1:11" x14ac:dyDescent="0.2">
      <c r="A36" s="150">
        <v>26</v>
      </c>
      <c r="B36" s="75" t="s">
        <v>507</v>
      </c>
      <c r="C36" s="233">
        <f>[1]Школы!BG36</f>
        <v>0</v>
      </c>
      <c r="D36" s="234">
        <f t="shared" si="0"/>
        <v>0</v>
      </c>
      <c r="E36" s="234">
        <f>[1]Школы!EZ36</f>
        <v>0</v>
      </c>
      <c r="F36" s="234">
        <f>[1]Школы!FF36</f>
        <v>0</v>
      </c>
      <c r="G36" s="341">
        <f t="shared" si="1"/>
        <v>0</v>
      </c>
      <c r="H36" s="341">
        <f t="shared" si="2"/>
        <v>0</v>
      </c>
    </row>
    <row r="37" spans="1:11" x14ac:dyDescent="0.2">
      <c r="A37" s="150">
        <v>27</v>
      </c>
      <c r="B37" s="75" t="s">
        <v>510</v>
      </c>
      <c r="C37" s="233">
        <f>[1]Школы!BG37</f>
        <v>0</v>
      </c>
      <c r="D37" s="234">
        <f t="shared" si="0"/>
        <v>0</v>
      </c>
      <c r="E37" s="234">
        <f>[1]Школы!EZ37</f>
        <v>0</v>
      </c>
      <c r="F37" s="234">
        <f>[1]Школы!FF37</f>
        <v>0</v>
      </c>
      <c r="G37" s="341">
        <f t="shared" si="1"/>
        <v>0</v>
      </c>
      <c r="H37" s="341">
        <f t="shared" si="2"/>
        <v>0</v>
      </c>
      <c r="J37">
        <f>'[1]Доходы прил №1'!E53*1000</f>
        <v>34445690</v>
      </c>
      <c r="K37" t="s">
        <v>882</v>
      </c>
    </row>
    <row r="38" spans="1:11" x14ac:dyDescent="0.2">
      <c r="A38" s="150">
        <v>28</v>
      </c>
      <c r="B38" s="75" t="s">
        <v>508</v>
      </c>
      <c r="C38" s="233">
        <f>[1]Школы!BG38</f>
        <v>2</v>
      </c>
      <c r="D38" s="234">
        <f t="shared" si="0"/>
        <v>158185.02142449666</v>
      </c>
      <c r="E38" s="234">
        <f>[1]Школы!EZ38</f>
        <v>121493.87206182539</v>
      </c>
      <c r="F38" s="234">
        <f>[1]Школы!FF38</f>
        <v>36691.149362671269</v>
      </c>
      <c r="G38" s="341">
        <f t="shared" si="1"/>
        <v>158185.02142449666</v>
      </c>
      <c r="H38" s="341">
        <f t="shared" si="2"/>
        <v>158185.02142449666</v>
      </c>
      <c r="J38" s="57">
        <f>[1]Школы!DU43*1.302</f>
        <v>34328349.719999999</v>
      </c>
      <c r="K38" t="s">
        <v>883</v>
      </c>
    </row>
    <row r="39" spans="1:11" x14ac:dyDescent="0.2">
      <c r="A39" s="150">
        <v>29</v>
      </c>
      <c r="B39" s="75" t="s">
        <v>509</v>
      </c>
      <c r="C39" s="233">
        <f>[1]Школы!BG39</f>
        <v>2</v>
      </c>
      <c r="D39" s="234">
        <f t="shared" si="0"/>
        <v>158185.02142449666</v>
      </c>
      <c r="E39" s="234">
        <f>[1]Школы!EZ39</f>
        <v>121493.87206182539</v>
      </c>
      <c r="F39" s="234">
        <f>[1]Школы!FF39</f>
        <v>36691.149362671269</v>
      </c>
      <c r="G39" s="341">
        <f t="shared" si="1"/>
        <v>158185.02142449666</v>
      </c>
      <c r="H39" s="341">
        <f t="shared" si="2"/>
        <v>158185.02142449666</v>
      </c>
      <c r="J39" s="57">
        <f>J38-J37</f>
        <v>-117340.28000000119</v>
      </c>
      <c r="K39" t="s">
        <v>884</v>
      </c>
    </row>
    <row r="40" spans="1:11" x14ac:dyDescent="0.2">
      <c r="A40" s="150">
        <v>30</v>
      </c>
      <c r="B40" s="75" t="s">
        <v>511</v>
      </c>
      <c r="C40" s="233">
        <f>[1]Школы!BG40</f>
        <v>0</v>
      </c>
      <c r="D40" s="234">
        <f t="shared" si="0"/>
        <v>0</v>
      </c>
      <c r="E40" s="234">
        <f>[1]Школы!EZ40</f>
        <v>0</v>
      </c>
      <c r="F40" s="234">
        <f>[1]Школы!FF40</f>
        <v>0</v>
      </c>
      <c r="G40" s="341">
        <f t="shared" si="1"/>
        <v>0</v>
      </c>
      <c r="H40" s="341">
        <f t="shared" si="2"/>
        <v>0</v>
      </c>
    </row>
    <row r="41" spans="1:11" x14ac:dyDescent="0.2">
      <c r="A41" s="150">
        <v>31</v>
      </c>
      <c r="B41" s="75" t="s">
        <v>512</v>
      </c>
      <c r="C41" s="233">
        <f>[1]Школы!BG41</f>
        <v>1</v>
      </c>
      <c r="D41" s="234">
        <f t="shared" si="0"/>
        <v>79092.510712248331</v>
      </c>
      <c r="E41" s="234">
        <f>[1]Школы!EZ41</f>
        <v>60746.936030912693</v>
      </c>
      <c r="F41" s="234">
        <f>[1]Школы!FF41</f>
        <v>18345.574681335635</v>
      </c>
      <c r="G41" s="341">
        <f t="shared" si="1"/>
        <v>79092.510712248331</v>
      </c>
      <c r="H41" s="341">
        <f t="shared" si="2"/>
        <v>79092.510712248331</v>
      </c>
    </row>
    <row r="42" spans="1:11" x14ac:dyDescent="0.2">
      <c r="A42" s="94"/>
      <c r="B42" s="150" t="s">
        <v>172</v>
      </c>
      <c r="C42" s="221">
        <f t="shared" ref="C42:H42" si="3">SUM(C11:C41)</f>
        <v>438</v>
      </c>
      <c r="D42" s="98">
        <f t="shared" si="3"/>
        <v>34445689.865999989</v>
      </c>
      <c r="E42" s="98">
        <f t="shared" si="3"/>
        <v>26455983.000000004</v>
      </c>
      <c r="F42" s="98">
        <f t="shared" si="3"/>
        <v>7989706.8659999976</v>
      </c>
      <c r="G42" s="98">
        <f t="shared" si="3"/>
        <v>34445689.865999989</v>
      </c>
      <c r="H42" s="98">
        <f t="shared" si="3"/>
        <v>34445689.865999989</v>
      </c>
    </row>
    <row r="46" spans="1:11" x14ac:dyDescent="0.2">
      <c r="C46" s="57"/>
    </row>
    <row r="47" spans="1:11" x14ac:dyDescent="0.2">
      <c r="C47" s="57"/>
    </row>
  </sheetData>
  <mergeCells count="12">
    <mergeCell ref="A6:H6"/>
    <mergeCell ref="A7:H7"/>
    <mergeCell ref="B8:H8"/>
    <mergeCell ref="A9:A10"/>
    <mergeCell ref="B9:B10"/>
    <mergeCell ref="C9:C10"/>
    <mergeCell ref="D9:H9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H61"/>
  <sheetViews>
    <sheetView zoomScaleNormal="100" workbookViewId="0">
      <selection activeCell="E50" sqref="E50"/>
    </sheetView>
  </sheetViews>
  <sheetFormatPr defaultColWidth="8.7109375" defaultRowHeight="12" customHeight="1" x14ac:dyDescent="0.2"/>
  <cols>
    <col min="1" max="1" width="3.28515625" style="114" customWidth="1"/>
    <col min="2" max="2" width="27.5703125" style="114" customWidth="1"/>
    <col min="3" max="3" width="10" style="114" customWidth="1"/>
    <col min="4" max="4" width="10.140625" style="114" customWidth="1"/>
    <col min="5" max="6" width="9.85546875" style="114" customWidth="1"/>
    <col min="7" max="9" width="8.7109375" style="114"/>
    <col min="10" max="10" width="24.85546875" style="114" customWidth="1"/>
    <col min="11" max="20" width="8.7109375" style="114"/>
    <col min="21" max="21" width="10" style="114" bestFit="1" customWidth="1"/>
    <col min="22" max="16384" width="8.7109375" style="114"/>
  </cols>
  <sheetData>
    <row r="1" spans="1:8" s="95" customFormat="1" ht="12" customHeight="1" x14ac:dyDescent="0.2">
      <c r="C1" s="461"/>
      <c r="D1" s="461"/>
      <c r="E1" s="461"/>
    </row>
    <row r="2" spans="1:8" s="95" customFormat="1" ht="12" customHeight="1" x14ac:dyDescent="0.2">
      <c r="B2" s="511" t="s">
        <v>855</v>
      </c>
      <c r="C2" s="511"/>
      <c r="D2" s="511"/>
      <c r="E2" s="511"/>
    </row>
    <row r="3" spans="1:8" s="95" customFormat="1" ht="12" customHeight="1" x14ac:dyDescent="0.2">
      <c r="B3" s="461" t="s">
        <v>81</v>
      </c>
      <c r="C3" s="461"/>
      <c r="D3" s="461"/>
      <c r="E3" s="461"/>
    </row>
    <row r="4" spans="1:8" s="95" customFormat="1" ht="12" customHeight="1" x14ac:dyDescent="0.2">
      <c r="B4" s="217"/>
      <c r="C4" s="461" t="s">
        <v>870</v>
      </c>
      <c r="D4" s="461"/>
      <c r="E4" s="461"/>
    </row>
    <row r="5" spans="1:8" s="95" customFormat="1" ht="12" customHeight="1" x14ac:dyDescent="0.2">
      <c r="A5" s="418" t="s">
        <v>403</v>
      </c>
      <c r="B5" s="418"/>
      <c r="C5" s="418"/>
      <c r="D5" s="418"/>
      <c r="E5" s="418"/>
    </row>
    <row r="6" spans="1:8" s="95" customFormat="1" ht="12" customHeight="1" x14ac:dyDescent="0.2">
      <c r="A6" s="418" t="s">
        <v>404</v>
      </c>
      <c r="B6" s="418"/>
      <c r="C6" s="418"/>
      <c r="D6" s="418"/>
      <c r="E6" s="418"/>
    </row>
    <row r="7" spans="1:8" s="95" customFormat="1" ht="12" customHeight="1" x14ac:dyDescent="0.2">
      <c r="A7" s="418" t="s">
        <v>402</v>
      </c>
      <c r="B7" s="418"/>
      <c r="C7" s="418"/>
      <c r="D7" s="418"/>
      <c r="E7" s="418"/>
    </row>
    <row r="8" spans="1:8" s="95" customFormat="1" ht="12" customHeight="1" x14ac:dyDescent="0.2">
      <c r="A8" s="418" t="s">
        <v>401</v>
      </c>
      <c r="B8" s="418"/>
      <c r="C8" s="418"/>
      <c r="D8" s="418"/>
      <c r="E8" s="418"/>
    </row>
    <row r="9" spans="1:8" s="95" customFormat="1" ht="12" customHeight="1" x14ac:dyDescent="0.2">
      <c r="A9" s="418" t="s">
        <v>860</v>
      </c>
      <c r="B9" s="418"/>
      <c r="C9" s="418"/>
      <c r="D9" s="418"/>
      <c r="E9" s="418"/>
    </row>
    <row r="10" spans="1:8" s="95" customFormat="1" ht="12" customHeight="1" x14ac:dyDescent="0.2">
      <c r="B10" s="95" t="s">
        <v>33</v>
      </c>
      <c r="E10" s="219" t="s">
        <v>316</v>
      </c>
    </row>
    <row r="11" spans="1:8" s="95" customFormat="1" ht="12" customHeight="1" x14ac:dyDescent="0.2">
      <c r="A11" s="146" t="s">
        <v>45</v>
      </c>
      <c r="B11" s="146" t="s">
        <v>28</v>
      </c>
      <c r="C11" s="146" t="s">
        <v>861</v>
      </c>
      <c r="D11" s="146" t="s">
        <v>608</v>
      </c>
      <c r="E11" s="146" t="s">
        <v>818</v>
      </c>
    </row>
    <row r="12" spans="1:8" s="220" customFormat="1" ht="12" customHeight="1" x14ac:dyDescent="0.2">
      <c r="A12" s="150">
        <v>1</v>
      </c>
      <c r="B12" s="75" t="s">
        <v>522</v>
      </c>
      <c r="C12" s="223">
        <f>[1]Школы!HA9</f>
        <v>21409.737373737382</v>
      </c>
      <c r="D12" s="229">
        <f>C12</f>
        <v>21409.737373737382</v>
      </c>
      <c r="E12" s="96">
        <f>D12</f>
        <v>21409.737373737382</v>
      </c>
    </row>
    <row r="13" spans="1:8" s="95" customFormat="1" ht="12" customHeight="1" x14ac:dyDescent="0.2">
      <c r="A13" s="150">
        <v>2</v>
      </c>
      <c r="B13" s="75" t="s">
        <v>419</v>
      </c>
      <c r="C13" s="223">
        <f>[1]Школы!HA10</f>
        <v>42819.474747474764</v>
      </c>
      <c r="D13" s="229">
        <f t="shared" ref="D13:E42" si="0">C13</f>
        <v>42819.474747474764</v>
      </c>
      <c r="E13" s="96">
        <f t="shared" si="0"/>
        <v>42819.474747474764</v>
      </c>
      <c r="H13" s="95" t="s">
        <v>33</v>
      </c>
    </row>
    <row r="14" spans="1:8" s="95" customFormat="1" ht="12" customHeight="1" x14ac:dyDescent="0.2">
      <c r="A14" s="150">
        <v>3</v>
      </c>
      <c r="B14" s="75" t="s">
        <v>422</v>
      </c>
      <c r="C14" s="223">
        <f>[1]Школы!HA11</f>
        <v>42819.474747474764</v>
      </c>
      <c r="D14" s="229">
        <f t="shared" si="0"/>
        <v>42819.474747474764</v>
      </c>
      <c r="E14" s="96">
        <f t="shared" si="0"/>
        <v>42819.474747474764</v>
      </c>
    </row>
    <row r="15" spans="1:8" s="95" customFormat="1" ht="12" customHeight="1" x14ac:dyDescent="0.2">
      <c r="A15" s="150">
        <v>4</v>
      </c>
      <c r="B15" s="75" t="s">
        <v>523</v>
      </c>
      <c r="C15" s="223">
        <f>[1]Школы!HA12</f>
        <v>64229.212121212149</v>
      </c>
      <c r="D15" s="229">
        <f t="shared" si="0"/>
        <v>64229.212121212149</v>
      </c>
      <c r="E15" s="96">
        <f t="shared" si="0"/>
        <v>64229.212121212149</v>
      </c>
    </row>
    <row r="16" spans="1:8" s="95" customFormat="1" ht="12" customHeight="1" x14ac:dyDescent="0.2">
      <c r="A16" s="150">
        <v>5</v>
      </c>
      <c r="B16" s="75" t="s">
        <v>429</v>
      </c>
      <c r="C16" s="223">
        <f>[1]Школы!HA13</f>
        <v>149868.16161616167</v>
      </c>
      <c r="D16" s="229">
        <f t="shared" si="0"/>
        <v>149868.16161616167</v>
      </c>
      <c r="E16" s="96">
        <f t="shared" si="0"/>
        <v>149868.16161616167</v>
      </c>
    </row>
    <row r="17" spans="1:8" s="95" customFormat="1" ht="12" customHeight="1" x14ac:dyDescent="0.2">
      <c r="A17" s="150">
        <v>6</v>
      </c>
      <c r="B17" s="75" t="s">
        <v>430</v>
      </c>
      <c r="C17" s="223">
        <f>[1]Школы!HA14</f>
        <v>299736.32323232334</v>
      </c>
      <c r="D17" s="229">
        <f t="shared" si="0"/>
        <v>299736.32323232334</v>
      </c>
      <c r="E17" s="96">
        <f t="shared" si="0"/>
        <v>299736.32323232334</v>
      </c>
      <c r="H17" s="95" t="s">
        <v>178</v>
      </c>
    </row>
    <row r="18" spans="1:8" s="95" customFormat="1" ht="12" hidden="1" customHeight="1" x14ac:dyDescent="0.2">
      <c r="A18" s="150">
        <v>7</v>
      </c>
      <c r="B18" s="75" t="s">
        <v>431</v>
      </c>
      <c r="C18" s="223">
        <f>[1]Школы!HA15</f>
        <v>0</v>
      </c>
      <c r="D18" s="229">
        <f t="shared" si="0"/>
        <v>0</v>
      </c>
      <c r="E18" s="96">
        <f t="shared" si="0"/>
        <v>0</v>
      </c>
      <c r="G18" s="95" t="s">
        <v>33</v>
      </c>
    </row>
    <row r="19" spans="1:8" s="95" customFormat="1" ht="12" hidden="1" customHeight="1" x14ac:dyDescent="0.2">
      <c r="A19" s="150">
        <v>8</v>
      </c>
      <c r="B19" s="75" t="s">
        <v>424</v>
      </c>
      <c r="C19" s="223">
        <f>[1]Школы!HA16</f>
        <v>0</v>
      </c>
      <c r="D19" s="229">
        <f t="shared" si="0"/>
        <v>0</v>
      </c>
      <c r="E19" s="96">
        <f t="shared" si="0"/>
        <v>0</v>
      </c>
    </row>
    <row r="20" spans="1:8" s="95" customFormat="1" ht="12" customHeight="1" x14ac:dyDescent="0.2">
      <c r="A20" s="150">
        <v>9</v>
      </c>
      <c r="B20" s="75" t="s">
        <v>433</v>
      </c>
      <c r="C20" s="223">
        <f>[1]Школы!HA17</f>
        <v>85638.949494949527</v>
      </c>
      <c r="D20" s="229">
        <f t="shared" si="0"/>
        <v>85638.949494949527</v>
      </c>
      <c r="E20" s="96">
        <f t="shared" si="0"/>
        <v>85638.949494949527</v>
      </c>
    </row>
    <row r="21" spans="1:8" s="95" customFormat="1" ht="12" hidden="1" customHeight="1" x14ac:dyDescent="0.2">
      <c r="A21" s="150">
        <v>10</v>
      </c>
      <c r="B21" s="75" t="s">
        <v>526</v>
      </c>
      <c r="C21" s="223">
        <f>[1]Школы!HA18</f>
        <v>0</v>
      </c>
      <c r="D21" s="229">
        <f t="shared" si="0"/>
        <v>0</v>
      </c>
      <c r="E21" s="96">
        <f t="shared" si="0"/>
        <v>0</v>
      </c>
      <c r="G21" s="95" t="s">
        <v>178</v>
      </c>
    </row>
    <row r="22" spans="1:8" s="95" customFormat="1" ht="12" customHeight="1" x14ac:dyDescent="0.2">
      <c r="A22" s="150">
        <v>11</v>
      </c>
      <c r="B22" s="75" t="s">
        <v>525</v>
      </c>
      <c r="C22" s="223">
        <f>[1]Школы!HA19</f>
        <v>21409.737373737382</v>
      </c>
      <c r="D22" s="229">
        <f t="shared" si="0"/>
        <v>21409.737373737382</v>
      </c>
      <c r="E22" s="96">
        <f t="shared" si="0"/>
        <v>21409.737373737382</v>
      </c>
    </row>
    <row r="23" spans="1:8" s="95" customFormat="1" ht="12" customHeight="1" x14ac:dyDescent="0.2">
      <c r="A23" s="150">
        <v>12</v>
      </c>
      <c r="B23" s="75" t="s">
        <v>426</v>
      </c>
      <c r="C23" s="223">
        <f>[1]Школы!HA20</f>
        <v>128458.4242424243</v>
      </c>
      <c r="D23" s="229">
        <f t="shared" si="0"/>
        <v>128458.4242424243</v>
      </c>
      <c r="E23" s="96">
        <f t="shared" si="0"/>
        <v>128458.4242424243</v>
      </c>
    </row>
    <row r="24" spans="1:8" s="95" customFormat="1" ht="12" hidden="1" customHeight="1" x14ac:dyDescent="0.2">
      <c r="A24" s="150">
        <v>13</v>
      </c>
      <c r="B24" s="75" t="s">
        <v>427</v>
      </c>
      <c r="C24" s="223">
        <f>[1]Школы!HA21</f>
        <v>0</v>
      </c>
      <c r="D24" s="229">
        <f t="shared" si="0"/>
        <v>0</v>
      </c>
      <c r="E24" s="96">
        <f t="shared" si="0"/>
        <v>0</v>
      </c>
    </row>
    <row r="25" spans="1:8" s="95" customFormat="1" ht="12" customHeight="1" x14ac:dyDescent="0.2">
      <c r="A25" s="150">
        <v>14</v>
      </c>
      <c r="B25" s="75" t="s">
        <v>432</v>
      </c>
      <c r="C25" s="223">
        <f>[1]Школы!HA22</f>
        <v>64229.212121212149</v>
      </c>
      <c r="D25" s="229">
        <f t="shared" si="0"/>
        <v>64229.212121212149</v>
      </c>
      <c r="E25" s="96">
        <f t="shared" si="0"/>
        <v>64229.212121212149</v>
      </c>
    </row>
    <row r="26" spans="1:8" s="95" customFormat="1" ht="12" hidden="1" customHeight="1" x14ac:dyDescent="0.2">
      <c r="A26" s="150">
        <v>15</v>
      </c>
      <c r="B26" s="75" t="s">
        <v>423</v>
      </c>
      <c r="C26" s="223">
        <f>[1]Школы!HA23</f>
        <v>0</v>
      </c>
      <c r="D26" s="229">
        <f t="shared" si="0"/>
        <v>0</v>
      </c>
      <c r="E26" s="96">
        <f t="shared" si="0"/>
        <v>0</v>
      </c>
    </row>
    <row r="27" spans="1:8" s="95" customFormat="1" ht="12" hidden="1" customHeight="1" x14ac:dyDescent="0.2">
      <c r="A27" s="150">
        <v>16</v>
      </c>
      <c r="B27" s="75" t="s">
        <v>520</v>
      </c>
      <c r="C27" s="223">
        <f>[1]Школы!HA24</f>
        <v>0</v>
      </c>
      <c r="D27" s="229">
        <f t="shared" si="0"/>
        <v>0</v>
      </c>
      <c r="E27" s="96">
        <f t="shared" si="0"/>
        <v>0</v>
      </c>
    </row>
    <row r="28" spans="1:8" s="95" customFormat="1" ht="12" hidden="1" customHeight="1" x14ac:dyDescent="0.2">
      <c r="A28" s="150">
        <v>17</v>
      </c>
      <c r="B28" s="75" t="s">
        <v>428</v>
      </c>
      <c r="C28" s="223">
        <f>[1]Школы!HA25</f>
        <v>0</v>
      </c>
      <c r="D28" s="229">
        <f t="shared" si="0"/>
        <v>0</v>
      </c>
      <c r="E28" s="96">
        <f t="shared" si="0"/>
        <v>0</v>
      </c>
    </row>
    <row r="29" spans="1:8" s="95" customFormat="1" ht="12" hidden="1" customHeight="1" x14ac:dyDescent="0.2">
      <c r="A29" s="150">
        <v>18</v>
      </c>
      <c r="B29" s="75" t="s">
        <v>521</v>
      </c>
      <c r="C29" s="223">
        <f>[1]Школы!HA26</f>
        <v>0</v>
      </c>
      <c r="D29" s="229">
        <f t="shared" si="0"/>
        <v>0</v>
      </c>
      <c r="E29" s="96">
        <f t="shared" si="0"/>
        <v>0</v>
      </c>
    </row>
    <row r="30" spans="1:8" s="95" customFormat="1" ht="12" hidden="1" customHeight="1" x14ac:dyDescent="0.2">
      <c r="A30" s="150">
        <v>19</v>
      </c>
      <c r="B30" s="75" t="s">
        <v>425</v>
      </c>
      <c r="C30" s="223">
        <f>[1]Школы!HA27</f>
        <v>0</v>
      </c>
      <c r="D30" s="229">
        <f t="shared" si="0"/>
        <v>0</v>
      </c>
      <c r="E30" s="96">
        <f t="shared" si="0"/>
        <v>0</v>
      </c>
    </row>
    <row r="31" spans="1:8" s="95" customFormat="1" ht="12" hidden="1" customHeight="1" x14ac:dyDescent="0.2">
      <c r="A31" s="150">
        <v>20</v>
      </c>
      <c r="B31" s="75" t="s">
        <v>524</v>
      </c>
      <c r="C31" s="223">
        <f>[1]Школы!HA28</f>
        <v>0</v>
      </c>
      <c r="D31" s="229">
        <f t="shared" si="0"/>
        <v>0</v>
      </c>
      <c r="E31" s="96">
        <f t="shared" si="0"/>
        <v>0</v>
      </c>
    </row>
    <row r="32" spans="1:8" s="95" customFormat="1" ht="12" hidden="1" customHeight="1" x14ac:dyDescent="0.2">
      <c r="A32" s="150">
        <v>21</v>
      </c>
      <c r="B32" s="75" t="s">
        <v>528</v>
      </c>
      <c r="C32" s="223">
        <f>[1]Школы!HA30</f>
        <v>0</v>
      </c>
      <c r="D32" s="229">
        <f t="shared" si="0"/>
        <v>0</v>
      </c>
      <c r="E32" s="96">
        <f t="shared" si="0"/>
        <v>0</v>
      </c>
    </row>
    <row r="33" spans="1:5" s="95" customFormat="1" ht="12" customHeight="1" x14ac:dyDescent="0.2">
      <c r="A33" s="150">
        <v>22</v>
      </c>
      <c r="B33" s="75" t="s">
        <v>443</v>
      </c>
      <c r="C33" s="223">
        <f>[1]Школы!HA31</f>
        <v>21409.737373737382</v>
      </c>
      <c r="D33" s="229">
        <f t="shared" si="0"/>
        <v>21409.737373737382</v>
      </c>
      <c r="E33" s="96">
        <f t="shared" si="0"/>
        <v>21409.737373737382</v>
      </c>
    </row>
    <row r="34" spans="1:5" s="95" customFormat="1" ht="12" hidden="1" customHeight="1" x14ac:dyDescent="0.2">
      <c r="A34" s="150">
        <v>23</v>
      </c>
      <c r="B34" s="75" t="s">
        <v>444</v>
      </c>
      <c r="C34" s="223">
        <f>[1]Школы!HA32</f>
        <v>0</v>
      </c>
      <c r="D34" s="229">
        <f t="shared" si="0"/>
        <v>0</v>
      </c>
      <c r="E34" s="96">
        <f t="shared" si="0"/>
        <v>0</v>
      </c>
    </row>
    <row r="35" spans="1:5" s="95" customFormat="1" ht="12" customHeight="1" x14ac:dyDescent="0.2">
      <c r="A35" s="150">
        <v>24</v>
      </c>
      <c r="B35" s="75" t="s">
        <v>615</v>
      </c>
      <c r="C35" s="223">
        <f>[1]Школы!HA33</f>
        <v>21409.737373737382</v>
      </c>
      <c r="D35" s="229">
        <f t="shared" si="0"/>
        <v>21409.737373737382</v>
      </c>
      <c r="E35" s="96">
        <f t="shared" si="0"/>
        <v>21409.737373737382</v>
      </c>
    </row>
    <row r="36" spans="1:5" s="95" customFormat="1" ht="12" hidden="1" customHeight="1" x14ac:dyDescent="0.2">
      <c r="A36" s="150">
        <v>25</v>
      </c>
      <c r="B36" s="75" t="s">
        <v>616</v>
      </c>
      <c r="C36" s="223">
        <f>[1]Школы!HA34</f>
        <v>0</v>
      </c>
      <c r="D36" s="229">
        <f t="shared" si="0"/>
        <v>0</v>
      </c>
      <c r="E36" s="96">
        <f t="shared" si="0"/>
        <v>0</v>
      </c>
    </row>
    <row r="37" spans="1:5" s="95" customFormat="1" ht="12" hidden="1" customHeight="1" x14ac:dyDescent="0.2">
      <c r="A37" s="150">
        <v>26</v>
      </c>
      <c r="B37" s="75" t="s">
        <v>507</v>
      </c>
      <c r="C37" s="223">
        <f>[1]Школы!HA36</f>
        <v>0</v>
      </c>
      <c r="D37" s="229">
        <f t="shared" si="0"/>
        <v>0</v>
      </c>
      <c r="E37" s="96">
        <f t="shared" si="0"/>
        <v>0</v>
      </c>
    </row>
    <row r="38" spans="1:5" s="95" customFormat="1" ht="12" hidden="1" customHeight="1" x14ac:dyDescent="0.2">
      <c r="A38" s="150">
        <v>27</v>
      </c>
      <c r="B38" s="75" t="s">
        <v>510</v>
      </c>
      <c r="C38" s="223">
        <f>[1]Школы!HA37</f>
        <v>0</v>
      </c>
      <c r="D38" s="229">
        <f t="shared" si="0"/>
        <v>0</v>
      </c>
      <c r="E38" s="96">
        <f t="shared" si="0"/>
        <v>0</v>
      </c>
    </row>
    <row r="39" spans="1:5" s="95" customFormat="1" ht="12" hidden="1" customHeight="1" x14ac:dyDescent="0.2">
      <c r="A39" s="150">
        <v>28</v>
      </c>
      <c r="B39" s="75" t="s">
        <v>508</v>
      </c>
      <c r="C39" s="223">
        <f>[1]Школы!HA38</f>
        <v>0</v>
      </c>
      <c r="D39" s="229">
        <f t="shared" si="0"/>
        <v>0</v>
      </c>
      <c r="E39" s="96">
        <f t="shared" si="0"/>
        <v>0</v>
      </c>
    </row>
    <row r="40" spans="1:5" s="95" customFormat="1" ht="12" hidden="1" customHeight="1" x14ac:dyDescent="0.2">
      <c r="A40" s="150">
        <v>29</v>
      </c>
      <c r="B40" s="75" t="s">
        <v>509</v>
      </c>
      <c r="C40" s="223">
        <f>[1]Школы!HA39</f>
        <v>0</v>
      </c>
      <c r="D40" s="229">
        <f t="shared" si="0"/>
        <v>0</v>
      </c>
      <c r="E40" s="96">
        <f t="shared" si="0"/>
        <v>0</v>
      </c>
    </row>
    <row r="41" spans="1:5" s="95" customFormat="1" ht="12" hidden="1" customHeight="1" x14ac:dyDescent="0.2">
      <c r="A41" s="150">
        <v>30</v>
      </c>
      <c r="B41" s="75" t="s">
        <v>511</v>
      </c>
      <c r="C41" s="223">
        <f>[1]Школы!HA40</f>
        <v>0</v>
      </c>
      <c r="D41" s="229">
        <f t="shared" si="0"/>
        <v>0</v>
      </c>
      <c r="E41" s="96">
        <f t="shared" si="0"/>
        <v>0</v>
      </c>
    </row>
    <row r="42" spans="1:5" s="95" customFormat="1" ht="12" hidden="1" customHeight="1" x14ac:dyDescent="0.2">
      <c r="A42" s="150">
        <v>31</v>
      </c>
      <c r="B42" s="75" t="s">
        <v>512</v>
      </c>
      <c r="C42" s="223">
        <f>[1]Школы!HA41</f>
        <v>0</v>
      </c>
      <c r="D42" s="229">
        <f t="shared" si="0"/>
        <v>0</v>
      </c>
      <c r="E42" s="96">
        <f t="shared" si="0"/>
        <v>0</v>
      </c>
    </row>
    <row r="43" spans="1:5" s="95" customFormat="1" ht="12" customHeight="1" x14ac:dyDescent="0.2">
      <c r="A43" s="94"/>
      <c r="B43" s="150" t="s">
        <v>172</v>
      </c>
      <c r="C43" s="98">
        <f>SUM(C12:C42)</f>
        <v>963438.18181818223</v>
      </c>
      <c r="D43" s="98">
        <f>SUM(D12:D42)</f>
        <v>963438.18181818223</v>
      </c>
      <c r="E43" s="98">
        <f>SUM(E12:E42)</f>
        <v>963438.18181818223</v>
      </c>
    </row>
    <row r="44" spans="1:5" s="159" customFormat="1" ht="12" customHeight="1" x14ac:dyDescent="0.2"/>
    <row r="45" spans="1:5" s="95" customFormat="1" ht="12" customHeight="1" x14ac:dyDescent="0.2">
      <c r="C45" s="97" t="s">
        <v>33</v>
      </c>
    </row>
    <row r="46" spans="1:5" s="95" customFormat="1" ht="12" customHeight="1" x14ac:dyDescent="0.2"/>
    <row r="47" spans="1:5" s="95" customFormat="1" ht="12" customHeight="1" x14ac:dyDescent="0.2"/>
    <row r="48" spans="1:5" s="95" customFormat="1" ht="12" customHeight="1" x14ac:dyDescent="0.2"/>
    <row r="49" spans="3:3" s="95" customFormat="1" ht="12" customHeight="1" x14ac:dyDescent="0.2"/>
    <row r="50" spans="3:3" s="95" customFormat="1" ht="12" customHeight="1" x14ac:dyDescent="0.2"/>
    <row r="51" spans="3:3" s="95" customFormat="1" ht="12" customHeight="1" x14ac:dyDescent="0.2">
      <c r="C51" s="97">
        <f>'[1]Доходы прил №1'!E38*1000</f>
        <v>953803.8</v>
      </c>
    </row>
    <row r="52" spans="3:3" s="95" customFormat="1" ht="12" customHeight="1" x14ac:dyDescent="0.2">
      <c r="C52" s="97">
        <f>C43</f>
        <v>963438.18181818223</v>
      </c>
    </row>
    <row r="53" spans="3:3" s="95" customFormat="1" ht="12" customHeight="1" x14ac:dyDescent="0.2">
      <c r="C53" s="97">
        <f>C51-C52</f>
        <v>-9634.3818181821844</v>
      </c>
    </row>
    <row r="54" spans="3:3" s="95" customFormat="1" ht="12" customHeight="1" x14ac:dyDescent="0.2"/>
    <row r="55" spans="3:3" s="95" customFormat="1" ht="12" customHeight="1" x14ac:dyDescent="0.2"/>
    <row r="56" spans="3:3" s="95" customFormat="1" ht="12" customHeight="1" x14ac:dyDescent="0.2"/>
    <row r="57" spans="3:3" s="95" customFormat="1" ht="12" customHeight="1" x14ac:dyDescent="0.2"/>
    <row r="58" spans="3:3" s="95" customFormat="1" ht="12" customHeight="1" x14ac:dyDescent="0.2"/>
    <row r="59" spans="3:3" s="95" customFormat="1" ht="12" customHeight="1" x14ac:dyDescent="0.2"/>
    <row r="60" spans="3:3" s="95" customFormat="1" ht="12" customHeight="1" x14ac:dyDescent="0.2"/>
    <row r="61" spans="3:3" s="95" customFormat="1" ht="12" customHeight="1" x14ac:dyDescent="0.2"/>
  </sheetData>
  <mergeCells count="9">
    <mergeCell ref="A6:E6"/>
    <mergeCell ref="A7:E7"/>
    <mergeCell ref="A8:E8"/>
    <mergeCell ref="A9:E9"/>
    <mergeCell ref="C1:E1"/>
    <mergeCell ref="B3:E3"/>
    <mergeCell ref="B2:E2"/>
    <mergeCell ref="C4:E4"/>
    <mergeCell ref="A5:E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59">
    <tabColor rgb="FF92D050"/>
  </sheetPr>
  <dimension ref="A1:I58"/>
  <sheetViews>
    <sheetView tabSelected="1" zoomScaleNormal="100" workbookViewId="0">
      <pane xSplit="2" ySplit="10" topLeftCell="C11" activePane="bottomRight" state="frozen"/>
      <selection activeCell="L20" sqref="L20"/>
      <selection pane="topRight" activeCell="L20" sqref="L20"/>
      <selection pane="bottomLeft" activeCell="L20" sqref="L20"/>
      <selection pane="bottomRight" activeCell="I19" sqref="I19"/>
    </sheetView>
  </sheetViews>
  <sheetFormatPr defaultColWidth="8.7109375" defaultRowHeight="12.75" x14ac:dyDescent="0.2"/>
  <cols>
    <col min="1" max="1" width="3.85546875" style="114" customWidth="1"/>
    <col min="2" max="2" width="30" style="114" customWidth="1"/>
    <col min="3" max="3" width="9.7109375" style="114" customWidth="1"/>
    <col min="4" max="4" width="10" style="114" customWidth="1"/>
    <col min="5" max="5" width="10.85546875" style="114" customWidth="1"/>
    <col min="6" max="6" width="12" style="114" customWidth="1"/>
    <col min="7" max="7" width="9.85546875" style="114" customWidth="1"/>
    <col min="8" max="10" width="8.7109375" style="114"/>
    <col min="11" max="11" width="24.85546875" style="114" customWidth="1"/>
    <col min="12" max="21" width="8.7109375" style="114"/>
    <col min="22" max="22" width="10" style="114" bestFit="1" customWidth="1"/>
    <col min="23" max="16384" width="8.7109375" style="114"/>
  </cols>
  <sheetData>
    <row r="1" spans="1:9" s="95" customFormat="1" x14ac:dyDescent="0.2">
      <c r="C1" s="461" t="s">
        <v>859</v>
      </c>
      <c r="D1" s="461"/>
      <c r="E1" s="461"/>
      <c r="F1" s="461"/>
    </row>
    <row r="2" spans="1:9" s="95" customFormat="1" x14ac:dyDescent="0.2">
      <c r="B2" s="217"/>
      <c r="C2" s="461" t="s">
        <v>81</v>
      </c>
      <c r="D2" s="461"/>
      <c r="E2" s="461"/>
      <c r="F2" s="461"/>
    </row>
    <row r="3" spans="1:9" s="95" customFormat="1" x14ac:dyDescent="0.2">
      <c r="B3" s="217"/>
      <c r="C3" s="218"/>
      <c r="D3" s="461" t="s">
        <v>870</v>
      </c>
      <c r="E3" s="461"/>
      <c r="F3" s="461"/>
    </row>
    <row r="4" spans="1:9" s="95" customFormat="1" x14ac:dyDescent="0.2">
      <c r="A4" s="418" t="s">
        <v>5</v>
      </c>
      <c r="B4" s="418"/>
      <c r="C4" s="418"/>
      <c r="D4" s="418"/>
      <c r="E4" s="418"/>
    </row>
    <row r="5" spans="1:9" s="95" customFormat="1" x14ac:dyDescent="0.2">
      <c r="A5" s="418" t="s">
        <v>152</v>
      </c>
      <c r="B5" s="418"/>
      <c r="C5" s="418"/>
      <c r="D5" s="418"/>
      <c r="E5" s="418"/>
    </row>
    <row r="6" spans="1:9" s="95" customFormat="1" x14ac:dyDescent="0.2">
      <c r="A6" s="418" t="s">
        <v>856</v>
      </c>
      <c r="B6" s="418"/>
      <c r="C6" s="418"/>
      <c r="D6" s="418"/>
      <c r="E6" s="418"/>
    </row>
    <row r="7" spans="1:9" s="95" customFormat="1" x14ac:dyDescent="0.2">
      <c r="F7" s="219" t="s">
        <v>316</v>
      </c>
    </row>
    <row r="8" spans="1:9" s="95" customFormat="1" ht="66" customHeight="1" x14ac:dyDescent="0.2">
      <c r="A8" s="146" t="s">
        <v>45</v>
      </c>
      <c r="B8" s="146" t="s">
        <v>28</v>
      </c>
      <c r="C8" s="146" t="s">
        <v>113</v>
      </c>
      <c r="D8" s="146" t="s">
        <v>861</v>
      </c>
      <c r="E8" s="146" t="s">
        <v>608</v>
      </c>
      <c r="F8" s="146" t="s">
        <v>818</v>
      </c>
    </row>
    <row r="9" spans="1:9" s="220" customFormat="1" ht="12.75" customHeight="1" x14ac:dyDescent="0.2">
      <c r="A9" s="150">
        <v>1</v>
      </c>
      <c r="B9" s="150" t="str">
        <f>[1]Школы!B9</f>
        <v>МКОУ "Алакский лицей"</v>
      </c>
      <c r="C9" s="222">
        <f>'[1]Расчет питания 1-кл'!E5</f>
        <v>127</v>
      </c>
      <c r="D9" s="223">
        <f>[1]Школы!HS9</f>
        <v>1552603.8116570464</v>
      </c>
      <c r="E9" s="223">
        <f>D9</f>
        <v>1552603.8116570464</v>
      </c>
      <c r="F9" s="223">
        <f>E9*F48</f>
        <v>1588673.3216177626</v>
      </c>
      <c r="G9" s="244"/>
    </row>
    <row r="10" spans="1:9" s="95" customFormat="1" x14ac:dyDescent="0.2">
      <c r="A10" s="150">
        <v>2</v>
      </c>
      <c r="B10" s="150" t="str">
        <f>[1]Школы!B10</f>
        <v>МКОУ "Андийская СОШ №1"</v>
      </c>
      <c r="C10" s="222">
        <f>'[1]Расчет питания 1-кл'!E6</f>
        <v>140</v>
      </c>
      <c r="D10" s="223">
        <f>[1]Школы!HS10</f>
        <v>1711531.4491025736</v>
      </c>
      <c r="E10" s="223">
        <f t="shared" ref="E10:E39" si="0">D10</f>
        <v>1711531.4491025736</v>
      </c>
      <c r="F10" s="223">
        <f>E10*F48</f>
        <v>1751293.1063830599</v>
      </c>
      <c r="I10" s="95" t="s">
        <v>33</v>
      </c>
    </row>
    <row r="11" spans="1:9" s="95" customFormat="1" x14ac:dyDescent="0.2">
      <c r="A11" s="150">
        <v>3</v>
      </c>
      <c r="B11" s="150" t="str">
        <f>[1]Школы!B11</f>
        <v>МКОУ "Андийская СОШ №2"</v>
      </c>
      <c r="C11" s="222">
        <f>'[1]Расчет питания 1-кл'!E7</f>
        <v>172</v>
      </c>
      <c r="D11" s="223">
        <f>[1]Школы!HS11</f>
        <v>2533142.9523257874</v>
      </c>
      <c r="E11" s="223">
        <f t="shared" si="0"/>
        <v>2533142.9523257874</v>
      </c>
      <c r="F11" s="223">
        <f>E11*F48</f>
        <v>2591991.980174893</v>
      </c>
    </row>
    <row r="12" spans="1:9" s="95" customFormat="1" x14ac:dyDescent="0.2">
      <c r="A12" s="150">
        <v>4</v>
      </c>
      <c r="B12" s="150" t="str">
        <f>[1]Школы!B12</f>
        <v>МКОУ "Ансалтинская СОШ"</v>
      </c>
      <c r="C12" s="222">
        <f>'[1]Расчет питания 1-кл'!E8</f>
        <v>209</v>
      </c>
      <c r="D12" s="223">
        <f>[1]Школы!HS12</f>
        <v>2555071.9490174139</v>
      </c>
      <c r="E12" s="223">
        <f t="shared" si="0"/>
        <v>2555071.9490174139</v>
      </c>
      <c r="F12" s="223">
        <f>E12*F48</f>
        <v>2614430.4231004259</v>
      </c>
    </row>
    <row r="13" spans="1:9" s="95" customFormat="1" x14ac:dyDescent="0.2">
      <c r="A13" s="150">
        <v>5</v>
      </c>
      <c r="B13" s="150" t="str">
        <f>[1]Школы!B13</f>
        <v>МКОУ "Ботлихская СОШ №1"</v>
      </c>
      <c r="C13" s="222">
        <f>'[1]Расчет питания 1-кл'!E9</f>
        <v>237</v>
      </c>
      <c r="D13" s="223">
        <f>[1]Школы!HS13</f>
        <v>2897378.238837929</v>
      </c>
      <c r="E13" s="223">
        <f t="shared" si="0"/>
        <v>2897378.238837929</v>
      </c>
      <c r="F13" s="223">
        <f>E13*F48</f>
        <v>2964689.0443770383</v>
      </c>
    </row>
    <row r="14" spans="1:9" s="95" customFormat="1" x14ac:dyDescent="0.2">
      <c r="A14" s="150">
        <v>6</v>
      </c>
      <c r="B14" s="150" t="str">
        <f>[1]Школы!B14</f>
        <v>МКОУ "Ботлихская СОШ №2"</v>
      </c>
      <c r="C14" s="222">
        <f>'[1]Расчет питания 1-кл'!E10</f>
        <v>280</v>
      </c>
      <c r="D14" s="223">
        <f>[1]Школы!HS14</f>
        <v>3423062.8982051476</v>
      </c>
      <c r="E14" s="223">
        <f t="shared" si="0"/>
        <v>3423062.8982051476</v>
      </c>
      <c r="F14" s="223">
        <f>E14*F48</f>
        <v>3502586.2127661202</v>
      </c>
      <c r="I14" s="95" t="s">
        <v>178</v>
      </c>
    </row>
    <row r="15" spans="1:9" s="95" customFormat="1" x14ac:dyDescent="0.2">
      <c r="A15" s="150">
        <v>7</v>
      </c>
      <c r="B15" s="150" t="str">
        <f>[1]Школы!B15</f>
        <v>МКОУ "Ботлихская СОШ №3"</v>
      </c>
      <c r="C15" s="222">
        <f>'[1]Расчет питания 1-кл'!E11</f>
        <v>71</v>
      </c>
      <c r="D15" s="223">
        <f>[1]Школы!HS15</f>
        <v>867990.94918773393</v>
      </c>
      <c r="E15" s="223">
        <f t="shared" si="0"/>
        <v>867990.94918773393</v>
      </c>
      <c r="F15" s="223">
        <f>E15*F48</f>
        <v>888155.78966569493</v>
      </c>
      <c r="H15" s="95" t="s">
        <v>33</v>
      </c>
    </row>
    <row r="16" spans="1:9" s="95" customFormat="1" x14ac:dyDescent="0.2">
      <c r="A16" s="150">
        <v>8</v>
      </c>
      <c r="B16" s="150" t="str">
        <f>[1]Школы!B16</f>
        <v>МКОУ "Гагатлинская СОШ"</v>
      </c>
      <c r="C16" s="222">
        <f>'[1]Расчет питания 1-кл'!E12</f>
        <v>121</v>
      </c>
      <c r="D16" s="223">
        <f>[1]Школы!HS16</f>
        <v>1479252.1810100819</v>
      </c>
      <c r="E16" s="223">
        <f t="shared" si="0"/>
        <v>1479252.1810100819</v>
      </c>
      <c r="F16" s="223">
        <f>E16*F48</f>
        <v>1513617.6133739308</v>
      </c>
    </row>
    <row r="17" spans="1:8" s="95" customFormat="1" x14ac:dyDescent="0.2">
      <c r="A17" s="150">
        <v>9</v>
      </c>
      <c r="B17" s="150" t="str">
        <f>[1]Школы!B17</f>
        <v>МКОУ "Годоберинская СОШ"</v>
      </c>
      <c r="C17" s="222">
        <f>'[1]Расчет питания 1-кл'!E13</f>
        <v>167</v>
      </c>
      <c r="D17" s="223">
        <f>[1]Школы!HS17</f>
        <v>2041612.5142866417</v>
      </c>
      <c r="E17" s="223">
        <f t="shared" si="0"/>
        <v>2041612.5142866417</v>
      </c>
      <c r="F17" s="223">
        <f>E17*F48</f>
        <v>2089042.4911855077</v>
      </c>
    </row>
    <row r="18" spans="1:8" s="95" customFormat="1" x14ac:dyDescent="0.2">
      <c r="A18" s="150">
        <v>10</v>
      </c>
      <c r="B18" s="150" t="str">
        <f>[1]Школы!B18</f>
        <v>МКОУ "Зиловская СОШ"</v>
      </c>
      <c r="C18" s="222">
        <f>'[1]Расчет питания 1-кл'!E14</f>
        <v>33</v>
      </c>
      <c r="D18" s="223">
        <f>[1]Школы!HS18</f>
        <v>403432.41300274956</v>
      </c>
      <c r="E18" s="223">
        <f t="shared" si="0"/>
        <v>403432.41300274956</v>
      </c>
      <c r="F18" s="223">
        <f>E18*F48</f>
        <v>412804.80364743562</v>
      </c>
      <c r="H18" s="95" t="s">
        <v>178</v>
      </c>
    </row>
    <row r="19" spans="1:8" s="95" customFormat="1" x14ac:dyDescent="0.2">
      <c r="A19" s="150">
        <v>11</v>
      </c>
      <c r="B19" s="150" t="str">
        <f>[1]Школы!B19</f>
        <v>МКОУ "Миарсинская СОШ"</v>
      </c>
      <c r="C19" s="222">
        <f>'[1]Расчет питания 1-кл'!E15</f>
        <v>98</v>
      </c>
      <c r="D19" s="223">
        <f>[1]Школы!HS19</f>
        <v>1198072.0143718014</v>
      </c>
      <c r="E19" s="223">
        <f t="shared" si="0"/>
        <v>1198072.0143718014</v>
      </c>
      <c r="F19" s="223">
        <f>E19*F48</f>
        <v>1225905.174468142</v>
      </c>
    </row>
    <row r="20" spans="1:8" s="95" customFormat="1" x14ac:dyDescent="0.2">
      <c r="A20" s="150">
        <v>12</v>
      </c>
      <c r="B20" s="150" t="str">
        <f>[1]Школы!B20</f>
        <v>МКОУ "Мунинская СОШ"</v>
      </c>
      <c r="C20" s="222">
        <f>'[1]Расчет питания 1-кл'!E16</f>
        <v>154</v>
      </c>
      <c r="D20" s="223">
        <f>[1]Школы!HS20</f>
        <v>2237521.7390857041</v>
      </c>
      <c r="E20" s="223">
        <f t="shared" si="0"/>
        <v>2237521.7390857041</v>
      </c>
      <c r="F20" s="223">
        <f>E20*F48</f>
        <v>2289503.0056839972</v>
      </c>
    </row>
    <row r="21" spans="1:8" s="95" customFormat="1" x14ac:dyDescent="0.2">
      <c r="A21" s="150">
        <v>13</v>
      </c>
      <c r="B21" s="150" t="str">
        <f>[1]Школы!B21</f>
        <v>МКОУ "Ортаколинская СОШ"</v>
      </c>
      <c r="C21" s="222">
        <f>'[1]Расчет питания 1-кл'!E17</f>
        <v>44</v>
      </c>
      <c r="D21" s="223">
        <f>[1]Школы!HS21</f>
        <v>646332.34499815491</v>
      </c>
      <c r="E21" s="223">
        <f t="shared" si="0"/>
        <v>646332.34499815491</v>
      </c>
      <c r="F21" s="223">
        <f>E21*F48</f>
        <v>661347.69584349578</v>
      </c>
    </row>
    <row r="22" spans="1:8" s="95" customFormat="1" x14ac:dyDescent="0.2">
      <c r="A22" s="150">
        <v>14</v>
      </c>
      <c r="B22" s="150" t="str">
        <f>[1]Школы!B22</f>
        <v>МКОУ "Рахатинская СОШ"</v>
      </c>
      <c r="C22" s="222">
        <f>'[1]Расчет питания 1-кл'!E18</f>
        <v>203</v>
      </c>
      <c r="D22" s="223">
        <f>[1]Школы!HS22</f>
        <v>2481720.6011987324</v>
      </c>
      <c r="E22" s="223">
        <f t="shared" si="0"/>
        <v>2481720.6011987324</v>
      </c>
      <c r="F22" s="223">
        <f>E22*F48</f>
        <v>2539375.0042554378</v>
      </c>
    </row>
    <row r="23" spans="1:8" s="95" customFormat="1" x14ac:dyDescent="0.2">
      <c r="A23" s="150">
        <v>15</v>
      </c>
      <c r="B23" s="150" t="str">
        <f>[1]Школы!B23</f>
        <v>МКОУ "Рикванинская СОШ"</v>
      </c>
      <c r="C23" s="222">
        <f>'[1]Расчет питания 1-кл'!E19</f>
        <v>35</v>
      </c>
      <c r="D23" s="223">
        <f>[1]Школы!HS23</f>
        <v>427882.86227564339</v>
      </c>
      <c r="E23" s="223">
        <f t="shared" si="0"/>
        <v>427882.86227564339</v>
      </c>
      <c r="F23" s="223">
        <f>E23*F48</f>
        <v>437823.27659576497</v>
      </c>
    </row>
    <row r="24" spans="1:8" s="95" customFormat="1" x14ac:dyDescent="0.2">
      <c r="A24" s="150">
        <v>16</v>
      </c>
      <c r="B24" s="150" t="str">
        <f>[1]Школы!B24</f>
        <v>МКОУ "Тандовская СОШ"</v>
      </c>
      <c r="C24" s="222">
        <f>'[1]Расчет питания 1-кл'!E20</f>
        <v>39</v>
      </c>
      <c r="D24" s="223">
        <f>[1]Школы!HS24</f>
        <v>476783.76082143123</v>
      </c>
      <c r="E24" s="223">
        <f t="shared" si="0"/>
        <v>476783.76082143123</v>
      </c>
      <c r="F24" s="223">
        <f>E24*F48</f>
        <v>487860.2224924239</v>
      </c>
    </row>
    <row r="25" spans="1:8" s="95" customFormat="1" x14ac:dyDescent="0.2">
      <c r="A25" s="150">
        <v>17</v>
      </c>
      <c r="B25" s="150" t="str">
        <f>[1]Школы!B25</f>
        <v>МКОУ "Тлохская СОШ"</v>
      </c>
      <c r="C25" s="222">
        <f>'[1]Расчет питания 1-кл'!E21</f>
        <v>184</v>
      </c>
      <c r="D25" s="223">
        <f>[1]Школы!HS25</f>
        <v>2683131.1770841954</v>
      </c>
      <c r="E25" s="223">
        <f t="shared" si="0"/>
        <v>2683131.1770841954</v>
      </c>
      <c r="F25" s="223">
        <f>E25*F48</f>
        <v>2745464.6751673007</v>
      </c>
    </row>
    <row r="26" spans="1:8" s="95" customFormat="1" x14ac:dyDescent="0.2">
      <c r="A26" s="150">
        <v>18</v>
      </c>
      <c r="B26" s="150" t="str">
        <f>[1]Школы!B26</f>
        <v>МКОУ "Хелетуринская СОШ"</v>
      </c>
      <c r="C26" s="222">
        <f>'[1]Расчет питания 1-кл'!E22</f>
        <v>12</v>
      </c>
      <c r="D26" s="223">
        <f>[1]Школы!HS26</f>
        <v>146702.69563736345</v>
      </c>
      <c r="E26" s="223">
        <f t="shared" si="0"/>
        <v>146702.69563736345</v>
      </c>
      <c r="F26" s="223">
        <f>E26*F48</f>
        <v>150110.83768997656</v>
      </c>
    </row>
    <row r="27" spans="1:8" s="95" customFormat="1" x14ac:dyDescent="0.2">
      <c r="A27" s="150">
        <v>19</v>
      </c>
      <c r="B27" s="150" t="str">
        <f>[1]Школы!B27</f>
        <v>МКОУ "Чанковская СОШ"</v>
      </c>
      <c r="C27" s="222">
        <f>'[1]Расчет питания 1-кл'!E23</f>
        <v>17</v>
      </c>
      <c r="D27" s="223">
        <f>[1]Школы!HS27</f>
        <v>250540.69739318482</v>
      </c>
      <c r="E27" s="223">
        <f t="shared" si="0"/>
        <v>250540.69739318482</v>
      </c>
      <c r="F27" s="223">
        <f>E27*F48</f>
        <v>256361.16499241316</v>
      </c>
    </row>
    <row r="28" spans="1:8" s="95" customFormat="1" x14ac:dyDescent="0.2">
      <c r="A28" s="150">
        <v>20</v>
      </c>
      <c r="B28" s="150" t="str">
        <f>[1]Школы!B28</f>
        <v>МКОУ "Шодродинская СОШ"</v>
      </c>
      <c r="C28" s="222">
        <f>'[1]Расчет питания 1-кл'!E24</f>
        <v>31</v>
      </c>
      <c r="D28" s="223">
        <f>[1]Школы!HS28</f>
        <v>378981.96372985566</v>
      </c>
      <c r="E28" s="223">
        <f t="shared" si="0"/>
        <v>378981.96372985566</v>
      </c>
      <c r="F28" s="223">
        <f>E28*F48</f>
        <v>387786.33069910621</v>
      </c>
    </row>
    <row r="29" spans="1:8" s="95" customFormat="1" x14ac:dyDescent="0.2">
      <c r="A29" s="150">
        <v>21</v>
      </c>
      <c r="B29" s="150" t="str">
        <f>[1]Школы!B30</f>
        <v>МКОУ "Ашалинская ООШ"</v>
      </c>
      <c r="C29" s="222">
        <f>'[1]Расчет питания 1-кл'!E25</f>
        <v>23</v>
      </c>
      <c r="D29" s="223">
        <f>[1]Школы!HS30</f>
        <v>281180.16663828003</v>
      </c>
      <c r="E29" s="223">
        <f t="shared" si="0"/>
        <v>281180.16663828003</v>
      </c>
      <c r="F29" s="223">
        <f>E29*F48</f>
        <v>287712.43890578853</v>
      </c>
    </row>
    <row r="30" spans="1:8" s="95" customFormat="1" x14ac:dyDescent="0.2">
      <c r="A30" s="150">
        <v>22</v>
      </c>
      <c r="B30" s="150" t="str">
        <f>[1]Школы!B31</f>
        <v>МКОУ "Кванхидатлинская ООШ"</v>
      </c>
      <c r="C30" s="222">
        <f>'[1]Расчет питания 1-кл'!E26</f>
        <v>17</v>
      </c>
      <c r="D30" s="223">
        <f>[1]Школы!HS31</f>
        <v>207828.81881959824</v>
      </c>
      <c r="E30" s="223">
        <f t="shared" si="0"/>
        <v>207828.81881959824</v>
      </c>
      <c r="F30" s="223">
        <f>E30*F48</f>
        <v>212657.02006080016</v>
      </c>
    </row>
    <row r="31" spans="1:8" s="95" customFormat="1" x14ac:dyDescent="0.2">
      <c r="A31" s="150">
        <v>23</v>
      </c>
      <c r="B31" s="150" t="str">
        <f>[1]Школы!B32</f>
        <v>МКОУ "Тасутинская ООШ"</v>
      </c>
      <c r="C31" s="222">
        <f>'[1]Расчет питания 1-кл'!E27</f>
        <v>10</v>
      </c>
      <c r="D31" s="223">
        <f>[1]Школы!HS32</f>
        <v>148536.47933283052</v>
      </c>
      <c r="E31" s="223">
        <f t="shared" si="0"/>
        <v>148536.47933283052</v>
      </c>
      <c r="F31" s="223">
        <f>E31*F48</f>
        <v>151987.22316110131</v>
      </c>
    </row>
    <row r="32" spans="1:8" s="95" customFormat="1" x14ac:dyDescent="0.2">
      <c r="A32" s="150">
        <v>24</v>
      </c>
      <c r="B32" s="150" t="str">
        <f>[1]Школы!B33</f>
        <v>МКОУ "Н-Инхеловская ООШ"</v>
      </c>
      <c r="C32" s="222">
        <f>'[1]Расчет питания 1-кл'!E28</f>
        <v>72</v>
      </c>
      <c r="D32" s="223">
        <f>[1]Школы!HS33</f>
        <v>880216.17382418085</v>
      </c>
      <c r="E32" s="223">
        <f t="shared" si="0"/>
        <v>880216.17382418085</v>
      </c>
      <c r="F32" s="223">
        <f>E32*F48</f>
        <v>900665.02613985958</v>
      </c>
    </row>
    <row r="33" spans="1:6" s="95" customFormat="1" x14ac:dyDescent="0.2">
      <c r="A33" s="150">
        <v>25</v>
      </c>
      <c r="B33" s="150" t="str">
        <f>[1]Школы!B34</f>
        <v>МКОУ "Кижанинская ООШ"</v>
      </c>
      <c r="C33" s="222">
        <f>'[1]Расчет питания 1-кл'!E29</f>
        <v>41</v>
      </c>
      <c r="D33" s="223">
        <f>[1]Школы!HS34</f>
        <v>501234.21009432519</v>
      </c>
      <c r="E33" s="223">
        <f t="shared" si="0"/>
        <v>501234.21009432519</v>
      </c>
      <c r="F33" s="223">
        <f>E33*F48</f>
        <v>512878.69544075336</v>
      </c>
    </row>
    <row r="34" spans="1:6" s="95" customFormat="1" hidden="1" x14ac:dyDescent="0.2">
      <c r="A34" s="150">
        <v>26</v>
      </c>
      <c r="B34" s="150" t="str">
        <f>[1]Школы!B36</f>
        <v>МКОУ "Белединская НОШ"</v>
      </c>
      <c r="C34" s="222">
        <f>'[1]Расчет питания 1-кл'!E30</f>
        <v>0</v>
      </c>
      <c r="D34" s="223">
        <f>[1]Школы!HS36</f>
        <v>0</v>
      </c>
      <c r="E34" s="223">
        <f t="shared" si="0"/>
        <v>0</v>
      </c>
      <c r="F34" s="223">
        <f>E34*F48</f>
        <v>0</v>
      </c>
    </row>
    <row r="35" spans="1:6" s="95" customFormat="1" hidden="1" x14ac:dyDescent="0.2">
      <c r="A35" s="150">
        <v>27</v>
      </c>
      <c r="B35" s="150" t="str">
        <f>[1]Школы!B37</f>
        <v>МКОУ "В-Алакская НОШ"</v>
      </c>
      <c r="C35" s="222">
        <f>'[1]Расчет питания 1-кл'!E31</f>
        <v>0</v>
      </c>
      <c r="D35" s="223">
        <f>[1]Школы!HS37</f>
        <v>0</v>
      </c>
      <c r="E35" s="223">
        <f t="shared" si="0"/>
        <v>0</v>
      </c>
      <c r="F35" s="223">
        <f>E35*F48</f>
        <v>0</v>
      </c>
    </row>
    <row r="36" spans="1:6" s="95" customFormat="1" x14ac:dyDescent="0.2">
      <c r="A36" s="150">
        <v>28</v>
      </c>
      <c r="B36" s="150" t="str">
        <f>[1]Школы!B38</f>
        <v>МКОУ "Гунховская НОШ"</v>
      </c>
      <c r="C36" s="222">
        <f>'[1]Расчет питания 1-кл'!E32</f>
        <v>7</v>
      </c>
      <c r="D36" s="223">
        <f>[1]Школы!HS38</f>
        <v>85576.572455128684</v>
      </c>
      <c r="E36" s="223">
        <f t="shared" si="0"/>
        <v>85576.572455128684</v>
      </c>
      <c r="F36" s="223">
        <f>E36*F48</f>
        <v>87564.655319152997</v>
      </c>
    </row>
    <row r="37" spans="1:6" s="95" customFormat="1" x14ac:dyDescent="0.2">
      <c r="A37" s="150">
        <v>29</v>
      </c>
      <c r="B37" s="150" t="str">
        <f>[1]Школы!B39</f>
        <v>МКОУ "Зибирхалинская НОШ"</v>
      </c>
      <c r="C37" s="222">
        <f>'[1]Расчет питания 1-кл'!E33</f>
        <v>4</v>
      </c>
      <c r="D37" s="223">
        <f>[1]Школы!HS39</f>
        <v>48900.898545787823</v>
      </c>
      <c r="E37" s="223">
        <f t="shared" si="0"/>
        <v>48900.898545787823</v>
      </c>
      <c r="F37" s="223">
        <f>E37*F48</f>
        <v>50036.945896658865</v>
      </c>
    </row>
    <row r="38" spans="1:6" s="95" customFormat="1" hidden="1" x14ac:dyDescent="0.2">
      <c r="A38" s="150">
        <v>30</v>
      </c>
      <c r="B38" s="150" t="str">
        <f>[1]Школы!B40</f>
        <v>МКОУ "Н-Алакская НОШ"</v>
      </c>
      <c r="C38" s="222">
        <f>'[1]Расчет питания 1-кл'!E34</f>
        <v>0</v>
      </c>
      <c r="D38" s="223">
        <f>[1]Школы!HS40</f>
        <v>0</v>
      </c>
      <c r="E38" s="223">
        <f t="shared" si="0"/>
        <v>0</v>
      </c>
      <c r="F38" s="223">
        <f>E38*F48</f>
        <v>0</v>
      </c>
    </row>
    <row r="39" spans="1:6" s="95" customFormat="1" x14ac:dyDescent="0.2">
      <c r="A39" s="150">
        <v>31</v>
      </c>
      <c r="B39" s="150" t="str">
        <f>[1]Школы!B41</f>
        <v>МКОУ "Шивортинская НОШ"</v>
      </c>
      <c r="C39" s="222">
        <f>'[1]Расчет питания 1-кл'!E35</f>
        <v>1</v>
      </c>
      <c r="D39" s="223">
        <f>[1]Школы!HS41</f>
        <v>12225.224636446956</v>
      </c>
      <c r="E39" s="223">
        <f t="shared" si="0"/>
        <v>12225.224636446956</v>
      </c>
      <c r="F39" s="223">
        <f>E39*F48</f>
        <v>12509.236474164716</v>
      </c>
    </row>
    <row r="40" spans="1:6" s="95" customFormat="1" x14ac:dyDescent="0.2">
      <c r="A40" s="94"/>
      <c r="B40" s="150" t="s">
        <v>172</v>
      </c>
      <c r="C40" s="221">
        <f>SUM(C9:C39)</f>
        <v>2549</v>
      </c>
      <c r="D40" s="98">
        <f>SUM(D9:D39)</f>
        <v>32558447.75757575</v>
      </c>
      <c r="E40" s="98">
        <f>SUM(E9:E39)</f>
        <v>32558447.75757575</v>
      </c>
      <c r="F40" s="98">
        <f>SUM(F9:F39)</f>
        <v>33314833.415578201</v>
      </c>
    </row>
    <row r="41" spans="1:6" s="159" customFormat="1" x14ac:dyDescent="0.2"/>
    <row r="42" spans="1:6" s="95" customFormat="1" x14ac:dyDescent="0.2">
      <c r="C42" s="95" t="s">
        <v>33</v>
      </c>
      <c r="D42" s="97" t="s">
        <v>33</v>
      </c>
    </row>
    <row r="43" spans="1:6" s="95" customFormat="1" x14ac:dyDescent="0.2"/>
    <row r="44" spans="1:6" s="95" customFormat="1" x14ac:dyDescent="0.2"/>
    <row r="45" spans="1:6" s="95" customFormat="1" x14ac:dyDescent="0.2"/>
    <row r="46" spans="1:6" s="95" customFormat="1" x14ac:dyDescent="0.2"/>
    <row r="47" spans="1:6" s="95" customFormat="1" x14ac:dyDescent="0.2"/>
    <row r="48" spans="1:6" s="95" customFormat="1" x14ac:dyDescent="0.2">
      <c r="C48" s="95" t="s">
        <v>159</v>
      </c>
      <c r="D48" s="97">
        <f>'[1]Доходы прил №1'!E37*1000</f>
        <v>32232863.280000001</v>
      </c>
      <c r="F48" s="298">
        <v>1.02323162528</v>
      </c>
    </row>
    <row r="49" spans="3:4" s="95" customFormat="1" x14ac:dyDescent="0.2">
      <c r="D49" s="97">
        <f>D40</f>
        <v>32558447.75757575</v>
      </c>
    </row>
    <row r="50" spans="3:4" s="95" customFormat="1" x14ac:dyDescent="0.2">
      <c r="C50" s="95" t="s">
        <v>143</v>
      </c>
      <c r="D50" s="97">
        <f>D48-D49</f>
        <v>-325584.47757574916</v>
      </c>
    </row>
    <row r="51" spans="3:4" s="95" customFormat="1" x14ac:dyDescent="0.2"/>
    <row r="52" spans="3:4" s="95" customFormat="1" x14ac:dyDescent="0.2"/>
    <row r="53" spans="3:4" s="95" customFormat="1" x14ac:dyDescent="0.2"/>
    <row r="54" spans="3:4" s="95" customFormat="1" x14ac:dyDescent="0.2"/>
    <row r="55" spans="3:4" s="95" customFormat="1" x14ac:dyDescent="0.2"/>
    <row r="56" spans="3:4" s="95" customFormat="1" x14ac:dyDescent="0.2"/>
    <row r="57" spans="3:4" s="95" customFormat="1" x14ac:dyDescent="0.2"/>
    <row r="58" spans="3:4" s="95" customFormat="1" x14ac:dyDescent="0.2"/>
  </sheetData>
  <mergeCells count="6">
    <mergeCell ref="C1:F1"/>
    <mergeCell ref="C2:F2"/>
    <mergeCell ref="A6:E6"/>
    <mergeCell ref="D3:F3"/>
    <mergeCell ref="A4:E4"/>
    <mergeCell ref="A5:E5"/>
  </mergeCells>
  <phoneticPr fontId="0" type="noConversion"/>
  <pageMargins left="0.75" right="0.75" top="1" bottom="1" header="0.5" footer="0.5"/>
  <pageSetup paperSize="9" orientation="portrait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M78"/>
  <sheetViews>
    <sheetView view="pageBreakPreview" zoomScale="60" zoomScaleNormal="100" workbookViewId="0">
      <selection sqref="A1:XFD1048576"/>
    </sheetView>
  </sheetViews>
  <sheetFormatPr defaultColWidth="8.7109375" defaultRowHeight="12.75" x14ac:dyDescent="0.2"/>
  <cols>
    <col min="1" max="1" width="3.140625" customWidth="1"/>
    <col min="2" max="2" width="31" customWidth="1"/>
    <col min="3" max="3" width="10.85546875" customWidth="1"/>
    <col min="4" max="4" width="11.5703125" customWidth="1"/>
    <col min="5" max="6" width="10.7109375" customWidth="1"/>
    <col min="7" max="8" width="9.140625" customWidth="1"/>
    <col min="9" max="9" width="14.140625" customWidth="1"/>
  </cols>
  <sheetData>
    <row r="2" spans="1:12" s="126" customFormat="1" ht="15.75" x14ac:dyDescent="0.25">
      <c r="B2" s="370" t="s">
        <v>7</v>
      </c>
      <c r="C2" s="370"/>
      <c r="D2" s="370"/>
      <c r="E2" s="370"/>
      <c r="F2" s="370"/>
      <c r="G2" s="370"/>
      <c r="H2" s="370"/>
      <c r="I2" s="370"/>
    </row>
    <row r="3" spans="1:12" s="126" customFormat="1" ht="15.75" x14ac:dyDescent="0.25">
      <c r="B3" s="370" t="s">
        <v>810</v>
      </c>
      <c r="C3" s="370"/>
      <c r="D3" s="370"/>
      <c r="E3" s="370"/>
      <c r="F3" s="370"/>
      <c r="G3" s="370"/>
      <c r="H3" s="370"/>
      <c r="I3" s="370"/>
    </row>
    <row r="4" spans="1:12" x14ac:dyDescent="0.2">
      <c r="C4" s="378"/>
      <c r="D4" s="378"/>
      <c r="E4" s="378"/>
      <c r="F4" s="378"/>
      <c r="G4" s="378"/>
      <c r="H4" s="313"/>
    </row>
    <row r="6" spans="1:12" s="21" customFormat="1" ht="13.7" customHeight="1" x14ac:dyDescent="0.2">
      <c r="A6" s="373"/>
      <c r="B6" s="374" t="s">
        <v>158</v>
      </c>
      <c r="C6" s="371" t="s">
        <v>9</v>
      </c>
      <c r="D6" s="371" t="s">
        <v>305</v>
      </c>
      <c r="E6" s="372" t="s">
        <v>387</v>
      </c>
      <c r="F6" s="371" t="s">
        <v>306</v>
      </c>
      <c r="G6" s="371" t="s">
        <v>288</v>
      </c>
      <c r="H6" s="375" t="s">
        <v>386</v>
      </c>
      <c r="I6" s="371" t="s">
        <v>97</v>
      </c>
    </row>
    <row r="7" spans="1:12" s="21" customFormat="1" x14ac:dyDescent="0.2">
      <c r="A7" s="373"/>
      <c r="B7" s="374"/>
      <c r="C7" s="371"/>
      <c r="D7" s="371"/>
      <c r="E7" s="372"/>
      <c r="F7" s="371"/>
      <c r="G7" s="371"/>
      <c r="H7" s="376"/>
      <c r="I7" s="371"/>
    </row>
    <row r="8" spans="1:12" s="21" customFormat="1" ht="13.7" customHeight="1" x14ac:dyDescent="0.2">
      <c r="A8" s="373"/>
      <c r="B8" s="374"/>
      <c r="C8" s="371"/>
      <c r="D8" s="371"/>
      <c r="E8" s="372"/>
      <c r="F8" s="371"/>
      <c r="G8" s="371"/>
      <c r="H8" s="376"/>
      <c r="I8" s="371"/>
    </row>
    <row r="9" spans="1:12" s="21" customFormat="1" x14ac:dyDescent="0.2">
      <c r="A9" s="373"/>
      <c r="B9" s="374"/>
      <c r="C9" s="371"/>
      <c r="D9" s="371"/>
      <c r="E9" s="372"/>
      <c r="F9" s="371"/>
      <c r="G9" s="371"/>
      <c r="H9" s="376"/>
      <c r="I9" s="371"/>
    </row>
    <row r="10" spans="1:12" s="21" customFormat="1" ht="18" customHeight="1" x14ac:dyDescent="0.2">
      <c r="A10" s="373"/>
      <c r="B10" s="374"/>
      <c r="C10" s="371"/>
      <c r="D10" s="371"/>
      <c r="E10" s="372"/>
      <c r="F10" s="371"/>
      <c r="G10" s="371"/>
      <c r="H10" s="376"/>
      <c r="I10" s="371"/>
    </row>
    <row r="11" spans="1:12" s="21" customFormat="1" x14ac:dyDescent="0.2">
      <c r="A11" s="373"/>
      <c r="B11" s="374"/>
      <c r="C11" s="371"/>
      <c r="D11" s="371"/>
      <c r="E11" s="372"/>
      <c r="F11" s="371"/>
      <c r="G11" s="371"/>
      <c r="H11" s="376"/>
      <c r="I11" s="371"/>
    </row>
    <row r="12" spans="1:12" s="21" customFormat="1" ht="1.5" customHeight="1" x14ac:dyDescent="0.2">
      <c r="A12" s="373"/>
      <c r="B12" s="374"/>
      <c r="C12" s="371"/>
      <c r="D12" s="371"/>
      <c r="E12" s="372"/>
      <c r="F12" s="371"/>
      <c r="G12" s="371"/>
      <c r="H12" s="376"/>
      <c r="I12" s="371"/>
    </row>
    <row r="13" spans="1:12" s="40" customFormat="1" ht="46.7" customHeight="1" x14ac:dyDescent="0.2">
      <c r="A13" s="373"/>
      <c r="B13" s="374"/>
      <c r="C13" s="371"/>
      <c r="D13" s="371"/>
      <c r="E13" s="372"/>
      <c r="F13" s="371"/>
      <c r="G13" s="371"/>
      <c r="H13" s="377"/>
      <c r="I13" s="371"/>
      <c r="L13" s="40" t="s">
        <v>33</v>
      </c>
    </row>
    <row r="14" spans="1:12" s="40" customFormat="1" ht="9.75" customHeight="1" x14ac:dyDescent="0.2">
      <c r="A14" s="74"/>
      <c r="B14" s="76"/>
      <c r="C14" s="36"/>
      <c r="D14" s="36"/>
      <c r="E14" s="36"/>
      <c r="F14" s="36"/>
      <c r="G14" s="36"/>
      <c r="H14" s="36"/>
      <c r="I14" s="36"/>
    </row>
    <row r="15" spans="1:12" s="21" customFormat="1" x14ac:dyDescent="0.2">
      <c r="A15" s="34">
        <v>1</v>
      </c>
      <c r="B15" s="26" t="str">
        <f>[1]Школы!B9</f>
        <v>МКОУ "Алакский лицей"</v>
      </c>
      <c r="C15" s="52">
        <f>SUM([1]Школы!DZ9,[1]Школы!EB9)</f>
        <v>1317914.6040000001</v>
      </c>
      <c r="D15" s="52">
        <f>[1]Школы!EE9</f>
        <v>2652553.2016570466</v>
      </c>
      <c r="E15" s="52">
        <f>[1]Школы!FQ9</f>
        <v>0</v>
      </c>
      <c r="F15" s="52">
        <f>[1]Школы!ET9</f>
        <v>50238.369999999995</v>
      </c>
      <c r="G15" s="52">
        <f>[1]Школы!EJ9</f>
        <v>0</v>
      </c>
      <c r="H15" s="52">
        <f>SUM([1]Школы!FW9,[1]Школы!GN9:GP9,[1]Школы!GT9:GV9)</f>
        <v>18000</v>
      </c>
      <c r="I15" s="53">
        <f>SUM(C15,D15,F15,G15,H15)</f>
        <v>4038706.175657047</v>
      </c>
    </row>
    <row r="16" spans="1:12" s="21" customFormat="1" x14ac:dyDescent="0.2">
      <c r="A16" s="34">
        <v>2</v>
      </c>
      <c r="B16" s="26" t="str">
        <f>[1]Школы!B10</f>
        <v>МКОУ "Андийская СОШ №1"</v>
      </c>
      <c r="C16" s="52">
        <f>SUM([1]Школы!DZ10,[1]Школы!EB10)</f>
        <v>1516124.9195999999</v>
      </c>
      <c r="D16" s="52">
        <f>[1]Школы!EE10</f>
        <v>3289603.3391025737</v>
      </c>
      <c r="E16" s="52">
        <f>[1]Школы!FQ10</f>
        <v>0</v>
      </c>
      <c r="F16" s="52">
        <f>[1]Школы!ET10</f>
        <v>68352.94</v>
      </c>
      <c r="G16" s="52">
        <f>[1]Школы!EJ10</f>
        <v>0</v>
      </c>
      <c r="H16" s="52">
        <f>SUM([1]Школы!FW10,[1]Школы!GN10:GP10,[1]Школы!GT10:GV10)</f>
        <v>25000</v>
      </c>
      <c r="I16" s="53">
        <f t="shared" ref="I16:I70" si="0">SUM(C16,D16,F16,G16,H16)</f>
        <v>4899081.1987025738</v>
      </c>
    </row>
    <row r="17" spans="1:13" s="21" customFormat="1" x14ac:dyDescent="0.2">
      <c r="A17" s="34">
        <v>3</v>
      </c>
      <c r="B17" s="26" t="str">
        <f>[1]Школы!B11</f>
        <v>МКОУ "Андийская СОШ №2"</v>
      </c>
      <c r="C17" s="52">
        <f>SUM([1]Школы!DZ11,[1]Школы!EB11)</f>
        <v>1689553.6991999997</v>
      </c>
      <c r="D17" s="52">
        <f>[1]Школы!EE11</f>
        <v>3862305.3423257875</v>
      </c>
      <c r="E17" s="52">
        <f>[1]Школы!FQ11</f>
        <v>0</v>
      </c>
      <c r="F17" s="52">
        <f>[1]Школы!ET11</f>
        <v>34590.97</v>
      </c>
      <c r="G17" s="52">
        <f>[1]Школы!EJ11</f>
        <v>0</v>
      </c>
      <c r="H17" s="52">
        <f>SUM([1]Школы!FW11,[1]Школы!GN11:GP11,[1]Школы!GT11:GV11)</f>
        <v>72000</v>
      </c>
      <c r="I17" s="53">
        <f t="shared" si="0"/>
        <v>5658450.0115257865</v>
      </c>
    </row>
    <row r="18" spans="1:13" s="21" customFormat="1" x14ac:dyDescent="0.2">
      <c r="A18" s="34">
        <v>4</v>
      </c>
      <c r="B18" s="26" t="str">
        <f>[1]Школы!B12</f>
        <v>МКОУ "Ансалтинская СОШ"</v>
      </c>
      <c r="C18" s="52">
        <f>SUM([1]Школы!DZ12,[1]Школы!EB12)</f>
        <v>1643189.112</v>
      </c>
      <c r="D18" s="52">
        <f>[1]Школы!EE12</f>
        <v>4750197.9390174141</v>
      </c>
      <c r="E18" s="52">
        <f>[1]Школы!FQ12</f>
        <v>0</v>
      </c>
      <c r="F18" s="52">
        <f>[1]Школы!ET12</f>
        <v>87819.714999999997</v>
      </c>
      <c r="G18" s="52">
        <f>[1]Школы!EJ12</f>
        <v>0</v>
      </c>
      <c r="H18" s="52">
        <f>SUM([1]Школы!FW12,[1]Школы!GN12:GP12,[1]Школы!GT12:GV12)</f>
        <v>25000</v>
      </c>
      <c r="I18" s="53">
        <f t="shared" si="0"/>
        <v>6506206.7660174137</v>
      </c>
    </row>
    <row r="19" spans="1:13" s="21" customFormat="1" x14ac:dyDescent="0.2">
      <c r="A19" s="34">
        <v>5</v>
      </c>
      <c r="B19" s="26" t="str">
        <f>[1]Школы!B13</f>
        <v>МКОУ "Ботлихская СОШ №1"</v>
      </c>
      <c r="C19" s="52">
        <f>SUM([1]Школы!DZ13,[1]Школы!EB13)</f>
        <v>1648139.112</v>
      </c>
      <c r="D19" s="52">
        <f>[1]Школы!EE13</f>
        <v>4883680.5808379287</v>
      </c>
      <c r="E19" s="52">
        <f>[1]Школы!FQ13</f>
        <v>0</v>
      </c>
      <c r="F19" s="52">
        <f>[1]Школы!ET13</f>
        <v>47626</v>
      </c>
      <c r="G19" s="52">
        <f>[1]Школы!EJ13</f>
        <v>0</v>
      </c>
      <c r="H19" s="52">
        <f>SUM([1]Школы!FW13,[1]Школы!GN13:GP13,[1]Школы!GT13:GV13)</f>
        <v>25000</v>
      </c>
      <c r="I19" s="53">
        <f t="shared" si="0"/>
        <v>6604445.6928379284</v>
      </c>
    </row>
    <row r="20" spans="1:13" x14ac:dyDescent="0.2">
      <c r="A20" s="34">
        <v>6</v>
      </c>
      <c r="B20" s="26" t="str">
        <f>[1]Школы!B14</f>
        <v>МКОУ "Ботлихская СОШ №2"</v>
      </c>
      <c r="C20" s="52">
        <f>SUM([1]Школы!DZ14,[1]Школы!EB14)</f>
        <v>1653876.612</v>
      </c>
      <c r="D20" s="52">
        <f>[1]Школы!EE14</f>
        <v>5164956.1402051477</v>
      </c>
      <c r="E20" s="52">
        <f>[1]Школы!FQ14</f>
        <v>0</v>
      </c>
      <c r="F20" s="52">
        <f>[1]Школы!ET14</f>
        <v>55515.34</v>
      </c>
      <c r="G20" s="52">
        <f>[1]Школы!EJ14</f>
        <v>0</v>
      </c>
      <c r="H20" s="52">
        <f>SUM([1]Школы!FW14,[1]Школы!GN14:GP14,[1]Школы!GT14:GV14)</f>
        <v>25000</v>
      </c>
      <c r="I20" s="53">
        <f t="shared" si="0"/>
        <v>6899348.0922051473</v>
      </c>
    </row>
    <row r="21" spans="1:13" x14ac:dyDescent="0.2">
      <c r="A21" s="34">
        <v>7</v>
      </c>
      <c r="B21" s="26" t="str">
        <f>[1]Школы!B15</f>
        <v>МКОУ "Ботлихская СОШ №3"</v>
      </c>
      <c r="C21" s="52">
        <f>SUM([1]Школы!DZ15,[1]Школы!EB15)</f>
        <v>1152858.6000000001</v>
      </c>
      <c r="D21" s="52">
        <f>[1]Школы!EE15</f>
        <v>1827505.6431877338</v>
      </c>
      <c r="E21" s="52">
        <f>[1]Школы!FQ15</f>
        <v>0</v>
      </c>
      <c r="F21" s="52">
        <f>[1]Школы!ET15</f>
        <v>51681.354999999996</v>
      </c>
      <c r="G21" s="52">
        <f>[1]Школы!EJ15</f>
        <v>0</v>
      </c>
      <c r="H21" s="52">
        <f>SUM([1]Школы!FW15,[1]Школы!GN15:GP15,[1]Школы!GT15:GV15)</f>
        <v>25000</v>
      </c>
      <c r="I21" s="53">
        <f t="shared" si="0"/>
        <v>3057045.5981877339</v>
      </c>
    </row>
    <row r="22" spans="1:13" x14ac:dyDescent="0.2">
      <c r="A22" s="34">
        <v>8</v>
      </c>
      <c r="B22" s="26" t="str">
        <f>[1]Школы!B16</f>
        <v>МКОУ "Гагатлинская СОШ"</v>
      </c>
      <c r="C22" s="52">
        <f>SUM([1]Школы!DZ16,[1]Школы!EB16)</f>
        <v>1509487.4195999999</v>
      </c>
      <c r="D22" s="52">
        <f>[1]Школы!EE16</f>
        <v>3127470.571010082</v>
      </c>
      <c r="E22" s="52">
        <f>[1]Школы!FQ16</f>
        <v>0</v>
      </c>
      <c r="F22" s="52">
        <f>[1]Школы!ET16</f>
        <v>44950.255000000005</v>
      </c>
      <c r="G22" s="52">
        <f>[1]Школы!EJ16</f>
        <v>0</v>
      </c>
      <c r="H22" s="52">
        <f>SUM([1]Школы!FW16,[1]Школы!GN16:GP16,[1]Школы!GT16:GV16)</f>
        <v>18000</v>
      </c>
      <c r="I22" s="53">
        <f t="shared" si="0"/>
        <v>4699908.2456100816</v>
      </c>
    </row>
    <row r="23" spans="1:13" x14ac:dyDescent="0.2">
      <c r="A23" s="34">
        <v>9</v>
      </c>
      <c r="B23" s="26" t="str">
        <f>[1]Школы!B17</f>
        <v>МКОУ "Годоберинская СОШ"</v>
      </c>
      <c r="C23" s="52">
        <f>SUM([1]Школы!DZ17,[1]Школы!EB17)</f>
        <v>1082422.6775999998</v>
      </c>
      <c r="D23" s="52">
        <f>[1]Школы!EE17</f>
        <v>4029603.6042866418</v>
      </c>
      <c r="E23" s="52">
        <f>[1]Школы!FQ17</f>
        <v>0</v>
      </c>
      <c r="F23" s="52">
        <f>[1]Школы!ET17</f>
        <v>70187.289999999994</v>
      </c>
      <c r="G23" s="52">
        <f>[1]Школы!EJ17</f>
        <v>0</v>
      </c>
      <c r="H23" s="52">
        <f>SUM([1]Школы!FW17,[1]Школы!GN17:GP17,[1]Школы!GT17:GV17)</f>
        <v>65000</v>
      </c>
      <c r="I23" s="53">
        <f t="shared" si="0"/>
        <v>5247213.5718866419</v>
      </c>
    </row>
    <row r="24" spans="1:13" x14ac:dyDescent="0.2">
      <c r="A24" s="34">
        <v>10</v>
      </c>
      <c r="B24" s="26" t="str">
        <f>[1]Школы!B18</f>
        <v>МКОУ "Зиловская СОШ"</v>
      </c>
      <c r="C24" s="52">
        <f>SUM([1]Школы!DZ18,[1]Школы!EB18)</f>
        <v>1140917.3603999999</v>
      </c>
      <c r="D24" s="52">
        <f>[1]Школы!EE18</f>
        <v>951534.80300274957</v>
      </c>
      <c r="E24" s="52">
        <f>[1]Школы!FQ18</f>
        <v>0</v>
      </c>
      <c r="F24" s="52">
        <f>[1]Школы!ET18</f>
        <v>55403.544999999998</v>
      </c>
      <c r="G24" s="52">
        <f>[1]Школы!EJ18</f>
        <v>0</v>
      </c>
      <c r="H24" s="52">
        <f>SUM([1]Школы!FW18,[1]Школы!GN18:GP18,[1]Школы!GT18:GV18)</f>
        <v>58000</v>
      </c>
      <c r="I24" s="53">
        <f t="shared" si="0"/>
        <v>2205855.7084027496</v>
      </c>
    </row>
    <row r="25" spans="1:13" x14ac:dyDescent="0.2">
      <c r="A25" s="34">
        <v>11</v>
      </c>
      <c r="B25" s="26" t="str">
        <f>[1]Школы!B19</f>
        <v>МКОУ "Миарсинская СОШ"</v>
      </c>
      <c r="C25" s="52">
        <f>SUM([1]Школы!DZ19,[1]Школы!EB19)</f>
        <v>1162308.6000000001</v>
      </c>
      <c r="D25" s="52">
        <f>[1]Школы!EE19</f>
        <v>2028976.4043718013</v>
      </c>
      <c r="E25" s="52">
        <f>[1]Школы!FQ19</f>
        <v>0</v>
      </c>
      <c r="F25" s="52">
        <f>[1]Школы!ET19</f>
        <v>66712.239999999991</v>
      </c>
      <c r="G25" s="52">
        <f>[1]Школы!EJ19</f>
        <v>0</v>
      </c>
      <c r="H25" s="52">
        <f>SUM([1]Школы!FW19,[1]Школы!GN19:GP19,[1]Школы!GT19:GV19)</f>
        <v>25000</v>
      </c>
      <c r="I25" s="53">
        <f t="shared" si="0"/>
        <v>3282997.2443718016</v>
      </c>
      <c r="M25" t="s">
        <v>33</v>
      </c>
    </row>
    <row r="26" spans="1:13" x14ac:dyDescent="0.2">
      <c r="A26" s="34">
        <v>12</v>
      </c>
      <c r="B26" s="26" t="str">
        <f>[1]Школы!B20</f>
        <v>МКОУ "Мунинская СОШ"</v>
      </c>
      <c r="C26" s="52">
        <f>SUM([1]Школы!DZ20,[1]Школы!EB20)</f>
        <v>1477683.108</v>
      </c>
      <c r="D26" s="52">
        <f>[1]Школы!EE20</f>
        <v>3579285.1290857042</v>
      </c>
      <c r="E26" s="52">
        <f>[1]Школы!FQ20</f>
        <v>0</v>
      </c>
      <c r="F26" s="52">
        <f>[1]Школы!ET20</f>
        <v>46089.055</v>
      </c>
      <c r="G26" s="52">
        <f>[1]Школы!EJ20</f>
        <v>0</v>
      </c>
      <c r="H26" s="52">
        <f>SUM([1]Школы!FW20,[1]Школы!GN20:GP20,[1]Школы!GT20:GV20)</f>
        <v>65000</v>
      </c>
      <c r="I26" s="53">
        <f t="shared" si="0"/>
        <v>5168057.2920857035</v>
      </c>
    </row>
    <row r="27" spans="1:13" x14ac:dyDescent="0.2">
      <c r="A27" s="34">
        <v>13</v>
      </c>
      <c r="B27" s="26" t="str">
        <f>[1]Школы!B21</f>
        <v>МКОУ "Ортаколинская СОШ"</v>
      </c>
      <c r="C27" s="52">
        <f>SUM([1]Школы!DZ21,[1]Школы!EB21)</f>
        <v>997477.59600000002</v>
      </c>
      <c r="D27" s="52">
        <f>[1]Школы!EE21</f>
        <v>1250044.1349981548</v>
      </c>
      <c r="E27" s="52">
        <f>[1]Школы!FQ21</f>
        <v>0</v>
      </c>
      <c r="F27" s="52">
        <f>[1]Школы!ET21</f>
        <v>40352.979999999996</v>
      </c>
      <c r="G27" s="52">
        <f>[1]Школы!EJ21</f>
        <v>0</v>
      </c>
      <c r="H27" s="52">
        <f>SUM([1]Школы!FW21,[1]Школы!GN21:GP21,[1]Школы!GT21:GV21)</f>
        <v>15000</v>
      </c>
      <c r="I27" s="53">
        <f t="shared" si="0"/>
        <v>2302874.7109981547</v>
      </c>
    </row>
    <row r="28" spans="1:13" x14ac:dyDescent="0.2">
      <c r="A28" s="34">
        <v>14</v>
      </c>
      <c r="B28" s="26" t="str">
        <f>[1]Школы!B22</f>
        <v>МКОУ "Рахатинская СОШ"</v>
      </c>
      <c r="C28" s="52">
        <f>SUM([1]Школы!DZ22,[1]Школы!EB22)</f>
        <v>1637564.112</v>
      </c>
      <c r="D28" s="52">
        <f>[1]Школы!EE22</f>
        <v>5091901.8411987321</v>
      </c>
      <c r="E28" s="52">
        <f>[1]Школы!FQ22</f>
        <v>0</v>
      </c>
      <c r="F28" s="52">
        <f>[1]Школы!ET22</f>
        <v>51569.14</v>
      </c>
      <c r="G28" s="52">
        <f>[1]Школы!EJ22</f>
        <v>0</v>
      </c>
      <c r="H28" s="52">
        <f>SUM([1]Школы!FW22,[1]Школы!GN22:GP22,[1]Школы!GT22:GV22)</f>
        <v>20000</v>
      </c>
      <c r="I28" s="53">
        <f t="shared" si="0"/>
        <v>6801035.0931987315</v>
      </c>
    </row>
    <row r="29" spans="1:13" x14ac:dyDescent="0.2">
      <c r="A29" s="34">
        <v>15</v>
      </c>
      <c r="B29" s="26" t="str">
        <f>[1]Школы!B23</f>
        <v>МКОУ "Рикванинская СОШ"</v>
      </c>
      <c r="C29" s="52">
        <f>SUM([1]Школы!DZ23,[1]Школы!EB23)</f>
        <v>525798.83880000003</v>
      </c>
      <c r="D29" s="52">
        <f>[1]Школы!EE23</f>
        <v>908324.8522756435</v>
      </c>
      <c r="E29" s="52">
        <f>[1]Школы!FQ23</f>
        <v>0</v>
      </c>
      <c r="F29" s="52">
        <f>[1]Школы!ET23</f>
        <v>46681.84</v>
      </c>
      <c r="G29" s="52">
        <f>[1]Школы!EJ23</f>
        <v>0</v>
      </c>
      <c r="H29" s="52">
        <f>SUM([1]Школы!FW23,[1]Школы!GN23:GP23,[1]Школы!GT23:GV23)</f>
        <v>39500</v>
      </c>
      <c r="I29" s="53">
        <f t="shared" si="0"/>
        <v>1520305.5310756436</v>
      </c>
    </row>
    <row r="30" spans="1:13" x14ac:dyDescent="0.2">
      <c r="A30" s="34">
        <v>16</v>
      </c>
      <c r="B30" s="26" t="str">
        <f>[1]Школы!B24</f>
        <v>МКОУ "Тандовская СОШ"</v>
      </c>
      <c r="C30" s="52">
        <f>SUM([1]Школы!DZ24,[1]Школы!EB24)</f>
        <v>994102.59600000002</v>
      </c>
      <c r="D30" s="52">
        <f>[1]Школы!EE24</f>
        <v>1169246.6108214313</v>
      </c>
      <c r="E30" s="52">
        <f>[1]Школы!FQ24</f>
        <v>0</v>
      </c>
      <c r="F30" s="52">
        <f>[1]Школы!ET24</f>
        <v>33311.08</v>
      </c>
      <c r="G30" s="52">
        <f>[1]Школы!EJ24</f>
        <v>0</v>
      </c>
      <c r="H30" s="52">
        <f>SUM([1]Школы!FW24,[1]Школы!GN24:GP24,[1]Школы!GT24:GV24)</f>
        <v>33000</v>
      </c>
      <c r="I30" s="53">
        <f t="shared" si="0"/>
        <v>2229660.2868214315</v>
      </c>
    </row>
    <row r="31" spans="1:13" x14ac:dyDescent="0.2">
      <c r="A31" s="34">
        <v>17</v>
      </c>
      <c r="B31" s="26" t="str">
        <f>[1]Школы!B25</f>
        <v>МКОУ "Тлохская СОШ"</v>
      </c>
      <c r="C31" s="52">
        <f>SUM([1]Школы!DZ25,[1]Школы!EB25)</f>
        <v>1484883.108</v>
      </c>
      <c r="D31" s="52">
        <f>[1]Школы!EE25</f>
        <v>4456689.5670841951</v>
      </c>
      <c r="E31" s="52">
        <f>[1]Школы!FQ25</f>
        <v>0</v>
      </c>
      <c r="F31" s="52">
        <f>[1]Школы!ET25</f>
        <v>56232.729999999996</v>
      </c>
      <c r="G31" s="52">
        <f>[1]Школы!EJ25</f>
        <v>0</v>
      </c>
      <c r="H31" s="52">
        <f>SUM([1]Школы!FW25,[1]Школы!GN25:GP25,[1]Школы!GT25:GV25)</f>
        <v>20000</v>
      </c>
      <c r="I31" s="53">
        <f t="shared" si="0"/>
        <v>6017805.4050841955</v>
      </c>
    </row>
    <row r="32" spans="1:13" x14ac:dyDescent="0.2">
      <c r="A32" s="34">
        <v>18</v>
      </c>
      <c r="B32" s="26" t="str">
        <f>[1]Школы!B26</f>
        <v>МКОУ "Хелетуринская СОШ"</v>
      </c>
      <c r="C32" s="52">
        <f>SUM([1]Школы!DZ26,[1]Школы!EB26)</f>
        <v>522648.83879999997</v>
      </c>
      <c r="D32" s="52">
        <f>[1]Школы!EE26</f>
        <v>532382.08563736349</v>
      </c>
      <c r="E32" s="52">
        <f>[1]Школы!FQ26</f>
        <v>0</v>
      </c>
      <c r="F32" s="52">
        <f>[1]Школы!ET26</f>
        <v>28266.744999999999</v>
      </c>
      <c r="G32" s="52">
        <f>[1]Школы!EJ26</f>
        <v>0</v>
      </c>
      <c r="H32" s="52">
        <f>SUM([1]Школы!FW26,[1]Школы!GN26:GP26,[1]Школы!GT26:GV26)</f>
        <v>48000</v>
      </c>
      <c r="I32" s="53">
        <f t="shared" si="0"/>
        <v>1131297.6694373635</v>
      </c>
    </row>
    <row r="33" spans="1:9" x14ac:dyDescent="0.2">
      <c r="A33" s="34">
        <v>19</v>
      </c>
      <c r="B33" s="26" t="str">
        <f>[1]Школы!B27</f>
        <v>МКОУ "Чанковская СОШ"</v>
      </c>
      <c r="C33" s="52">
        <f>SUM([1]Школы!DZ27,[1]Школы!EB27)</f>
        <v>351470.05919999996</v>
      </c>
      <c r="D33" s="52">
        <f>[1]Школы!EE27</f>
        <v>1064953.3873931849</v>
      </c>
      <c r="E33" s="52">
        <f>[1]Школы!FQ27</f>
        <v>0</v>
      </c>
      <c r="F33" s="52">
        <f>[1]Школы!ET27</f>
        <v>33830.815000000002</v>
      </c>
      <c r="G33" s="52">
        <f>[1]Школы!EJ27</f>
        <v>0</v>
      </c>
      <c r="H33" s="52">
        <f>SUM([1]Школы!FW27,[1]Школы!GN27:GP27,[1]Школы!GT27:GV27)</f>
        <v>15000</v>
      </c>
      <c r="I33" s="53">
        <f t="shared" si="0"/>
        <v>1465254.2615931849</v>
      </c>
    </row>
    <row r="34" spans="1:9" x14ac:dyDescent="0.2">
      <c r="A34" s="34">
        <v>20</v>
      </c>
      <c r="B34" s="26" t="str">
        <f>[1]Школы!B28</f>
        <v>МКОУ "Шодродинская СОШ"</v>
      </c>
      <c r="C34" s="52">
        <f>SUM([1]Школы!DZ28,[1]Школы!EB28)</f>
        <v>460068.01199999999</v>
      </c>
      <c r="D34" s="52">
        <f>[1]Школы!EE28</f>
        <v>881677.95372985571</v>
      </c>
      <c r="E34" s="52">
        <f>[1]Школы!FQ28</f>
        <v>0</v>
      </c>
      <c r="F34" s="52">
        <f>[1]Школы!ET28</f>
        <v>32499.384999999998</v>
      </c>
      <c r="G34" s="52">
        <f>[1]Школы!EJ28</f>
        <v>0</v>
      </c>
      <c r="H34" s="52">
        <f>SUM([1]Школы!FW28,[1]Школы!GN28:GP28,[1]Школы!GT28:GV28)</f>
        <v>20000</v>
      </c>
      <c r="I34" s="53">
        <f t="shared" si="0"/>
        <v>1394245.3507298557</v>
      </c>
    </row>
    <row r="35" spans="1:9" x14ac:dyDescent="0.2">
      <c r="A35" s="34"/>
      <c r="B35" s="34" t="str">
        <f>[1]Школы!B29</f>
        <v>ИТОГО по СОШ</v>
      </c>
      <c r="C35" s="53">
        <f t="shared" ref="C35:I35" si="1">SUM(C15:C34)</f>
        <v>23968488.985199999</v>
      </c>
      <c r="D35" s="53">
        <f t="shared" si="1"/>
        <v>55502893.131229177</v>
      </c>
      <c r="E35" s="53">
        <f t="shared" si="1"/>
        <v>0</v>
      </c>
      <c r="F35" s="53">
        <f t="shared" si="1"/>
        <v>1001911.7899999998</v>
      </c>
      <c r="G35" s="53">
        <f t="shared" si="1"/>
        <v>0</v>
      </c>
      <c r="H35" s="53">
        <f t="shared" si="1"/>
        <v>656500</v>
      </c>
      <c r="I35" s="53">
        <f t="shared" si="1"/>
        <v>81129793.906429157</v>
      </c>
    </row>
    <row r="36" spans="1:9" x14ac:dyDescent="0.2">
      <c r="A36" s="34">
        <v>21</v>
      </c>
      <c r="B36" s="26" t="str">
        <f>[1]Школы!B30</f>
        <v>МКОУ "Ашалинская ООШ"</v>
      </c>
      <c r="C36" s="52">
        <f>SUM([1]Школы!DZ30,[1]Школы!EB30)</f>
        <v>524561.33880000003</v>
      </c>
      <c r="D36" s="52">
        <f>[1]Школы!EE30</f>
        <v>581228.15663828002</v>
      </c>
      <c r="E36" s="52">
        <f>[1]Школы!FQ30</f>
        <v>0</v>
      </c>
      <c r="F36" s="52">
        <f>[1]Школы!ET30</f>
        <v>42794.14</v>
      </c>
      <c r="G36" s="52">
        <f>[1]Школы!EJ30</f>
        <v>0</v>
      </c>
      <c r="H36" s="52">
        <f>SUM([1]Школы!FW30,[1]Школы!GN30:GP30,[1]Школы!GT30:GV30)</f>
        <v>15000</v>
      </c>
      <c r="I36" s="53">
        <f t="shared" si="0"/>
        <v>1163583.6354382799</v>
      </c>
    </row>
    <row r="37" spans="1:9" x14ac:dyDescent="0.2">
      <c r="A37" s="34">
        <v>22</v>
      </c>
      <c r="B37" s="26" t="str">
        <f>[1]Школы!B31</f>
        <v>МКОУ "Кванхидатлинская ООШ"</v>
      </c>
      <c r="C37" s="52">
        <f>SUM([1]Школы!DZ31,[1]Школы!EB31)</f>
        <v>838946.59200000006</v>
      </c>
      <c r="D37" s="52">
        <f>[1]Школы!EE31</f>
        <v>513626.20881959819</v>
      </c>
      <c r="E37" s="52">
        <f>[1]Школы!FQ31</f>
        <v>0</v>
      </c>
      <c r="F37" s="52">
        <f>[1]Школы!ET31</f>
        <v>30246.91</v>
      </c>
      <c r="G37" s="52">
        <f>[1]Школы!EJ31</f>
        <v>0</v>
      </c>
      <c r="H37" s="52">
        <f>SUM([1]Школы!FW31,[1]Школы!GN31:GP31,[1]Школы!GT31:GV31)</f>
        <v>15000</v>
      </c>
      <c r="I37" s="53">
        <f t="shared" si="0"/>
        <v>1397819.7108195981</v>
      </c>
    </row>
    <row r="38" spans="1:9" x14ac:dyDescent="0.2">
      <c r="A38" s="34">
        <v>23</v>
      </c>
      <c r="B38" s="26" t="str">
        <f>[1]Школы!B32</f>
        <v>МКОУ "Тасутинская ООШ"</v>
      </c>
      <c r="C38" s="52">
        <f>SUM([1]Школы!DZ32,[1]Школы!EB32)</f>
        <v>176241.27959999998</v>
      </c>
      <c r="D38" s="52">
        <f>[1]Школы!EE32</f>
        <v>481672.86933283054</v>
      </c>
      <c r="E38" s="52">
        <f>[1]Школы!FQ32</f>
        <v>0</v>
      </c>
      <c r="F38" s="52">
        <f>[1]Школы!ET32</f>
        <v>28807</v>
      </c>
      <c r="G38" s="52">
        <f>[1]Школы!EJ32</f>
        <v>0</v>
      </c>
      <c r="H38" s="52">
        <f>SUM([1]Школы!FW32,[1]Школы!GN32:GP32,[1]Школы!GT32:GV32)</f>
        <v>19000</v>
      </c>
      <c r="I38" s="53">
        <f t="shared" si="0"/>
        <v>705721.14893283055</v>
      </c>
    </row>
    <row r="39" spans="1:9" x14ac:dyDescent="0.2">
      <c r="A39" s="34">
        <v>24</v>
      </c>
      <c r="B39" s="26" t="str">
        <f>[1]Школы!B33</f>
        <v>МКОУ "Н-Инхеловская ООШ"</v>
      </c>
      <c r="C39" s="52">
        <f>SUM([1]Школы!DZ33,[1]Школы!EB33)</f>
        <v>618936.51600000006</v>
      </c>
      <c r="D39" s="52">
        <f>[1]Школы!EE33</f>
        <v>1337580.563824181</v>
      </c>
      <c r="E39" s="52">
        <f>[1]Школы!FQ33</f>
        <v>0</v>
      </c>
      <c r="F39" s="52">
        <f>[1]Школы!ET33</f>
        <v>37079.229999999996</v>
      </c>
      <c r="G39" s="52">
        <f>[1]Школы!EJ33</f>
        <v>0</v>
      </c>
      <c r="H39" s="52">
        <f>SUM([1]Школы!FW33,[1]Школы!GN33:GP33,[1]Школы!GT33:GV33)</f>
        <v>18000</v>
      </c>
      <c r="I39" s="53">
        <f t="shared" si="0"/>
        <v>2011596.309824181</v>
      </c>
    </row>
    <row r="40" spans="1:9" x14ac:dyDescent="0.2">
      <c r="A40" s="34">
        <v>25</v>
      </c>
      <c r="B40" s="26" t="str">
        <f>[1]Школы!B34</f>
        <v>МКОУ "Кижанинская ООШ"</v>
      </c>
      <c r="C40" s="52">
        <f>SUM([1]Школы!DZ34,[1]Школы!EB34)</f>
        <v>526811.33880000003</v>
      </c>
      <c r="D40" s="52">
        <f>[1]Школы!EE34</f>
        <v>940824.90009432519</v>
      </c>
      <c r="E40" s="52">
        <f>[1]Школы!FQ34</f>
        <v>0</v>
      </c>
      <c r="F40" s="52">
        <f>[1]Школы!ET34</f>
        <v>32290</v>
      </c>
      <c r="G40" s="52">
        <f>[1]Школы!EJ34</f>
        <v>0</v>
      </c>
      <c r="H40" s="52">
        <f>SUM([1]Школы!FW34,[1]Школы!GN34:GP34,[1]Школы!GT34:GV34)</f>
        <v>31000</v>
      </c>
      <c r="I40" s="53">
        <f t="shared" si="0"/>
        <v>1530926.2388943252</v>
      </c>
    </row>
    <row r="41" spans="1:9" x14ac:dyDescent="0.2">
      <c r="A41" s="34"/>
      <c r="B41" s="34" t="str">
        <f>[1]Школы!B35</f>
        <v>ИТОГО по ООШ</v>
      </c>
      <c r="C41" s="53">
        <f>SUM(C36:C40)</f>
        <v>2685497.0652000001</v>
      </c>
      <c r="D41" s="53">
        <f t="shared" ref="D41:I41" si="2">SUM(D36:D40)</f>
        <v>3854932.698709215</v>
      </c>
      <c r="E41" s="53">
        <f t="shared" si="2"/>
        <v>0</v>
      </c>
      <c r="F41" s="53">
        <f t="shared" si="2"/>
        <v>171217.28</v>
      </c>
      <c r="G41" s="53">
        <f t="shared" si="2"/>
        <v>0</v>
      </c>
      <c r="H41" s="53">
        <f t="shared" si="2"/>
        <v>98000</v>
      </c>
      <c r="I41" s="53">
        <f t="shared" si="2"/>
        <v>6809647.0439092144</v>
      </c>
    </row>
    <row r="42" spans="1:9" x14ac:dyDescent="0.2">
      <c r="A42" s="34">
        <v>26</v>
      </c>
      <c r="B42" s="26" t="str">
        <f>[1]Школы!B36</f>
        <v>МКОУ "Белединская НОШ"</v>
      </c>
      <c r="C42" s="52">
        <f>SUM([1]Школы!DZ36,[1]Школы!EB36)</f>
        <v>0</v>
      </c>
      <c r="D42" s="52">
        <f>[1]Школы!EE36</f>
        <v>0</v>
      </c>
      <c r="E42" s="52">
        <f>[1]Школы!FQ36</f>
        <v>0</v>
      </c>
      <c r="F42" s="52">
        <f>[1]Школы!ET36</f>
        <v>0</v>
      </c>
      <c r="G42" s="52">
        <f>[1]Школы!EJ36</f>
        <v>0</v>
      </c>
      <c r="H42" s="52">
        <f>SUM([1]Школы!FW36,[1]Школы!GN36:GP36,[1]Школы!GT36:GV36)</f>
        <v>0</v>
      </c>
      <c r="I42" s="53">
        <f t="shared" si="0"/>
        <v>0</v>
      </c>
    </row>
    <row r="43" spans="1:9" x14ac:dyDescent="0.2">
      <c r="A43" s="34">
        <v>27</v>
      </c>
      <c r="B43" s="26" t="str">
        <f>[1]Школы!B37</f>
        <v>МКОУ "В-Алакская НОШ"</v>
      </c>
      <c r="C43" s="52">
        <f>SUM([1]Школы!DZ37,[1]Школы!EB37)</f>
        <v>0</v>
      </c>
      <c r="D43" s="52">
        <f>[1]Школы!EE37</f>
        <v>0</v>
      </c>
      <c r="E43" s="52">
        <f>[1]Школы!FQ37</f>
        <v>0</v>
      </c>
      <c r="F43" s="52">
        <f>[1]Школы!ET37</f>
        <v>0</v>
      </c>
      <c r="G43" s="52">
        <f>[1]Школы!EJ37</f>
        <v>0</v>
      </c>
      <c r="H43" s="52">
        <f>SUM([1]Школы!FW37,[1]Школы!GN37:GP37,[1]Школы!GT37:GV37)</f>
        <v>0</v>
      </c>
      <c r="I43" s="53">
        <f t="shared" si="0"/>
        <v>0</v>
      </c>
    </row>
    <row r="44" spans="1:9" x14ac:dyDescent="0.2">
      <c r="A44" s="34">
        <v>28</v>
      </c>
      <c r="B44" s="26" t="str">
        <f>[1]Школы!B38</f>
        <v>МКОУ "Гунховская НОШ"</v>
      </c>
      <c r="C44" s="52">
        <f>SUM([1]Школы!DZ38,[1]Школы!EB38)</f>
        <v>172866.27959999998</v>
      </c>
      <c r="D44" s="52">
        <f>[1]Школы!EE38</f>
        <v>281792.77245512872</v>
      </c>
      <c r="E44" s="52">
        <f>[1]Школы!FQ38</f>
        <v>0</v>
      </c>
      <c r="F44" s="52">
        <f>[1]Школы!ET38</f>
        <v>15000</v>
      </c>
      <c r="G44" s="52">
        <f>[1]Школы!EJ38</f>
        <v>0</v>
      </c>
      <c r="H44" s="52">
        <f>SUM([1]Школы!FW38,[1]Школы!GN38:GP38,[1]Школы!GT38:GV38)</f>
        <v>50000</v>
      </c>
      <c r="I44" s="53">
        <f t="shared" si="0"/>
        <v>519659.05205512873</v>
      </c>
    </row>
    <row r="45" spans="1:9" x14ac:dyDescent="0.2">
      <c r="A45" s="34">
        <v>29</v>
      </c>
      <c r="B45" s="26" t="str">
        <f>[1]Школы!B39</f>
        <v>МКОУ "Зибирхалинская НОШ"</v>
      </c>
      <c r="C45" s="52">
        <f>SUM([1]Школы!DZ39,[1]Школы!EB39)</f>
        <v>86433.13979999999</v>
      </c>
      <c r="D45" s="52">
        <f>[1]Школы!EE39</f>
        <v>113205.89854578782</v>
      </c>
      <c r="E45" s="52">
        <f>[1]Школы!FQ39</f>
        <v>0</v>
      </c>
      <c r="F45" s="52">
        <f>[1]Школы!ET39</f>
        <v>15197.295</v>
      </c>
      <c r="G45" s="52">
        <f>[1]Школы!EJ39</f>
        <v>0</v>
      </c>
      <c r="H45" s="52">
        <f>SUM([1]Школы!FW39,[1]Школы!GN39:GP39,[1]Школы!GT39:GV39)</f>
        <v>0</v>
      </c>
      <c r="I45" s="53">
        <f t="shared" si="0"/>
        <v>214836.3333457878</v>
      </c>
    </row>
    <row r="46" spans="1:9" x14ac:dyDescent="0.2">
      <c r="A46" s="34">
        <v>30</v>
      </c>
      <c r="B46" s="26" t="str">
        <f>[1]Школы!B40</f>
        <v>МКОУ "Н-Алакская НОШ"</v>
      </c>
      <c r="C46" s="52">
        <f>SUM([1]Школы!DZ40,[1]Школы!EB40)</f>
        <v>0</v>
      </c>
      <c r="D46" s="52">
        <f>[1]Школы!EE40</f>
        <v>0</v>
      </c>
      <c r="E46" s="52">
        <f>[1]Школы!FQ40</f>
        <v>0</v>
      </c>
      <c r="F46" s="52">
        <f>[1]Школы!ET40</f>
        <v>0</v>
      </c>
      <c r="G46" s="52">
        <f>[1]Школы!EJ40</f>
        <v>0</v>
      </c>
      <c r="H46" s="52">
        <f>SUM([1]Школы!FW40,[1]Школы!GN40:GP40,[1]Школы!GT40:GV40)</f>
        <v>0</v>
      </c>
      <c r="I46" s="53">
        <f t="shared" si="0"/>
        <v>0</v>
      </c>
    </row>
    <row r="47" spans="1:9" x14ac:dyDescent="0.2">
      <c r="A47" s="34">
        <v>31</v>
      </c>
      <c r="B47" s="26" t="str">
        <f>[1]Школы!B41</f>
        <v>МКОУ "Шивортинская НОШ"</v>
      </c>
      <c r="C47" s="52">
        <f>SUM([1]Школы!DZ41,[1]Школы!EB41)</f>
        <v>86433.13979999999</v>
      </c>
      <c r="D47" s="52">
        <f>[1]Школы!EE41</f>
        <v>143130.22463644698</v>
      </c>
      <c r="E47" s="52">
        <f>[1]Школы!FQ41</f>
        <v>0</v>
      </c>
      <c r="F47" s="52">
        <f>[1]Школы!ET41</f>
        <v>15000</v>
      </c>
      <c r="G47" s="52">
        <f>[1]Школы!EJ41</f>
        <v>0</v>
      </c>
      <c r="H47" s="52">
        <f>SUM([1]Школы!FW41,[1]Школы!GN41:GP41,[1]Школы!GT41:GV41)</f>
        <v>0</v>
      </c>
      <c r="I47" s="53">
        <f t="shared" si="0"/>
        <v>244563.36443644698</v>
      </c>
    </row>
    <row r="48" spans="1:9" x14ac:dyDescent="0.2">
      <c r="A48" s="34"/>
      <c r="B48" s="34" t="str">
        <f>[1]Школы!B42</f>
        <v>ИТОГО по НОШ</v>
      </c>
      <c r="C48" s="53">
        <f>SUM(C42:C47)</f>
        <v>345732.55919999996</v>
      </c>
      <c r="D48" s="53">
        <f t="shared" ref="D48:I48" si="3">SUM(D42:D47)</f>
        <v>538128.89563736343</v>
      </c>
      <c r="E48" s="53">
        <f t="shared" si="3"/>
        <v>0</v>
      </c>
      <c r="F48" s="53">
        <f t="shared" si="3"/>
        <v>45197.294999999998</v>
      </c>
      <c r="G48" s="53">
        <f t="shared" si="3"/>
        <v>0</v>
      </c>
      <c r="H48" s="53">
        <f t="shared" si="3"/>
        <v>50000</v>
      </c>
      <c r="I48" s="53">
        <f t="shared" si="3"/>
        <v>979058.7498373636</v>
      </c>
    </row>
    <row r="49" spans="1:9" hidden="1" x14ac:dyDescent="0.2">
      <c r="A49" s="34">
        <v>32</v>
      </c>
      <c r="B49" s="50"/>
      <c r="C49" s="52"/>
      <c r="D49" s="52"/>
      <c r="E49" s="52"/>
      <c r="F49" s="52"/>
      <c r="G49" s="52"/>
      <c r="H49" s="52"/>
      <c r="I49" s="53">
        <f>SUM(C49,D49,F49,G49,H49)</f>
        <v>0</v>
      </c>
    </row>
    <row r="50" spans="1:9" hidden="1" x14ac:dyDescent="0.2">
      <c r="A50" s="34">
        <v>33</v>
      </c>
      <c r="B50" s="50"/>
      <c r="C50" s="52"/>
      <c r="D50" s="52"/>
      <c r="E50" s="52"/>
      <c r="F50" s="52"/>
      <c r="G50" s="52"/>
      <c r="H50" s="52"/>
      <c r="I50" s="53">
        <f t="shared" si="0"/>
        <v>0</v>
      </c>
    </row>
    <row r="51" spans="1:9" hidden="1" x14ac:dyDescent="0.2">
      <c r="A51" s="34"/>
      <c r="B51" s="172" t="s">
        <v>43</v>
      </c>
      <c r="C51" s="53">
        <f>SUM(C49:C50)</f>
        <v>0</v>
      </c>
      <c r="D51" s="53">
        <f t="shared" ref="D51:I51" si="4">SUM(D49:D50)</f>
        <v>0</v>
      </c>
      <c r="E51" s="53">
        <f t="shared" si="4"/>
        <v>0</v>
      </c>
      <c r="F51" s="53">
        <f t="shared" si="4"/>
        <v>0</v>
      </c>
      <c r="G51" s="53">
        <f t="shared" si="4"/>
        <v>0</v>
      </c>
      <c r="H51" s="53">
        <f t="shared" si="4"/>
        <v>0</v>
      </c>
      <c r="I51" s="53">
        <f t="shared" si="4"/>
        <v>0</v>
      </c>
    </row>
    <row r="52" spans="1:9" x14ac:dyDescent="0.2">
      <c r="A52" s="34">
        <v>34</v>
      </c>
      <c r="B52" s="26" t="str">
        <f>'[1]Ясли сады'!B7:C7</f>
        <v>МКДОУ "Ромашка" с.Алак</v>
      </c>
      <c r="C52" s="52">
        <f>'[1]Ясли сады'!CN7</f>
        <v>1803822.048</v>
      </c>
      <c r="D52" s="52">
        <f>'[1]Ясли сады'!CQ7</f>
        <v>1110269.79</v>
      </c>
      <c r="E52" s="52">
        <f>'[1]Ясли сады'!DX7</f>
        <v>0</v>
      </c>
      <c r="F52" s="52">
        <f>'[1]Ясли сады'!DF7</f>
        <v>6767.6149999999998</v>
      </c>
      <c r="G52" s="52">
        <f>'[1]Ясли сады'!CV7</f>
        <v>0</v>
      </c>
      <c r="H52" s="52">
        <f>SUM('[1]Ясли сады'!ED7,'[1]Ясли сады'!ES7:EU7,'[1]Ясли сады'!EY7:FA7)</f>
        <v>15000</v>
      </c>
      <c r="I52" s="53">
        <f t="shared" si="0"/>
        <v>2935859.4530000002</v>
      </c>
    </row>
    <row r="53" spans="1:9" x14ac:dyDescent="0.2">
      <c r="A53" s="34">
        <v>35</v>
      </c>
      <c r="B53" s="26" t="str">
        <f>'[1]Ясли сады'!B8:C8</f>
        <v>МКДОУ "Светлячок" с.Анди</v>
      </c>
      <c r="C53" s="52">
        <f>'[1]Ясли сады'!CN8</f>
        <v>4598243.0373600004</v>
      </c>
      <c r="D53" s="52">
        <f>'[1]Ясли сады'!CQ8</f>
        <v>2255758.29</v>
      </c>
      <c r="E53" s="52">
        <f>'[1]Ясли сады'!DX8</f>
        <v>0</v>
      </c>
      <c r="F53" s="52">
        <f>'[1]Ясли сады'!DF8</f>
        <v>5000</v>
      </c>
      <c r="G53" s="52">
        <f>'[1]Ясли сады'!CV8</f>
        <v>0</v>
      </c>
      <c r="H53" s="52">
        <f>SUM('[1]Ясли сады'!ED8,'[1]Ясли сады'!ES8:EU8,'[1]Ясли сады'!EY8:FA8)</f>
        <v>25800</v>
      </c>
      <c r="I53" s="53">
        <f t="shared" si="0"/>
        <v>6884801.3273600005</v>
      </c>
    </row>
    <row r="54" spans="1:9" x14ac:dyDescent="0.2">
      <c r="A54" s="34">
        <v>36</v>
      </c>
      <c r="B54" s="26" t="str">
        <f>'[1]Ясли сады'!B9:C9</f>
        <v>МКДОУ "Аист" с.Ансалта</v>
      </c>
      <c r="C54" s="52">
        <f>'[1]Ясли сады'!CN9</f>
        <v>4563669.7814399991</v>
      </c>
      <c r="D54" s="52">
        <f>'[1]Ясли сады'!CQ9</f>
        <v>3027871.89</v>
      </c>
      <c r="E54" s="52">
        <f>'[1]Ясли сады'!DX9</f>
        <v>0</v>
      </c>
      <c r="F54" s="52">
        <f>'[1]Ясли сады'!DF9</f>
        <v>13899.23</v>
      </c>
      <c r="G54" s="52">
        <f>'[1]Ясли сады'!CV9</f>
        <v>0</v>
      </c>
      <c r="H54" s="52">
        <f>SUM('[1]Ясли сады'!ED9,'[1]Ясли сады'!ES9:EU9,'[1]Ясли сады'!EY9:FA9)</f>
        <v>18000</v>
      </c>
      <c r="I54" s="53">
        <f t="shared" si="0"/>
        <v>7623440.9014400002</v>
      </c>
    </row>
    <row r="55" spans="1:9" x14ac:dyDescent="0.2">
      <c r="A55" s="34">
        <v>37</v>
      </c>
      <c r="B55" s="26" t="str">
        <f>'[1]Ясли сады'!B10:C10</f>
        <v>МКДОУ "Чебурашка" с.Ботлих</v>
      </c>
      <c r="C55" s="52">
        <f>'[1]Ясли сады'!CN10</f>
        <v>5651975.7504000003</v>
      </c>
      <c r="D55" s="52">
        <f>'[1]Ясли сады'!CQ10</f>
        <v>3838523.2059999998</v>
      </c>
      <c r="E55" s="52">
        <f>'[1]Ясли сады'!DX10</f>
        <v>0</v>
      </c>
      <c r="F55" s="52">
        <f>'[1]Ясли сады'!DF10</f>
        <v>12835.939999999999</v>
      </c>
      <c r="G55" s="52">
        <f>'[1]Ясли сады'!CV10</f>
        <v>0</v>
      </c>
      <c r="H55" s="52">
        <f>SUM('[1]Ясли сады'!ED10,'[1]Ясли сады'!ES10:EU10,'[1]Ясли сады'!EY10:FA10)</f>
        <v>18000</v>
      </c>
      <c r="I55" s="53">
        <f t="shared" si="0"/>
        <v>9521334.896399999</v>
      </c>
    </row>
    <row r="56" spans="1:9" x14ac:dyDescent="0.2">
      <c r="A56" s="34">
        <v>38</v>
      </c>
      <c r="B56" s="26" t="str">
        <f>'[1]Ясли сады'!B11:C11</f>
        <v>МКДОУ "Солнышко" с.Ботлих</v>
      </c>
      <c r="C56" s="52">
        <f>'[1]Ясли сады'!CN11</f>
        <v>5576816.4983999999</v>
      </c>
      <c r="D56" s="52">
        <f>'[1]Ясли сады'!CQ11</f>
        <v>5009231.9059999995</v>
      </c>
      <c r="E56" s="52">
        <f>'[1]Ясли сады'!DX11</f>
        <v>1000000</v>
      </c>
      <c r="F56" s="52">
        <f>'[1]Ясли сады'!DF11</f>
        <v>9309.636050000001</v>
      </c>
      <c r="G56" s="52">
        <f>'[1]Ясли сады'!CV11</f>
        <v>0</v>
      </c>
      <c r="H56" s="52">
        <f>SUM('[1]Ясли сады'!ED11,'[1]Ясли сады'!ES11:EU11,'[1]Ясли сады'!EY11:FA11)</f>
        <v>18000</v>
      </c>
      <c r="I56" s="53">
        <f t="shared" si="0"/>
        <v>10613358.040449999</v>
      </c>
    </row>
    <row r="57" spans="1:9" x14ac:dyDescent="0.2">
      <c r="A57" s="34">
        <v>39</v>
      </c>
      <c r="B57" s="26" t="str">
        <f>'[1]Ясли сады'!B12:C12</f>
        <v>МКДОУ "Родничок" с.Ботлих</v>
      </c>
      <c r="C57" s="52">
        <f>'[1]Ясли сады'!CN12</f>
        <v>4374268.4664000003</v>
      </c>
      <c r="D57" s="52">
        <f>'[1]Ясли сады'!CQ12</f>
        <v>2999144.0559999999</v>
      </c>
      <c r="E57" s="52">
        <f>'[1]Ясли сады'!DX12</f>
        <v>0</v>
      </c>
      <c r="F57" s="52">
        <f>'[1]Ясли сады'!DF12</f>
        <v>25170.29</v>
      </c>
      <c r="G57" s="52">
        <f>'[1]Ясли сады'!CV12</f>
        <v>0</v>
      </c>
      <c r="H57" s="52">
        <f>SUM('[1]Ясли сады'!ED12,'[1]Ясли сады'!ES12:EU12,'[1]Ясли сады'!EY12:FA12)</f>
        <v>18000</v>
      </c>
      <c r="I57" s="53">
        <f t="shared" si="0"/>
        <v>7416582.8124000002</v>
      </c>
    </row>
    <row r="58" spans="1:9" x14ac:dyDescent="0.2">
      <c r="A58" s="34">
        <v>40</v>
      </c>
      <c r="B58" s="26" t="str">
        <f>'[1]Ясли сады'!B13:C13</f>
        <v>МКДОУ "Золотой ключик" с.Ботлих</v>
      </c>
      <c r="C58" s="52">
        <f>'[1]Ясли сады'!CN13</f>
        <v>2645605.6704000002</v>
      </c>
      <c r="D58" s="52">
        <f>'[1]Ясли сады'!CQ13</f>
        <v>2549725.8659999999</v>
      </c>
      <c r="E58" s="52">
        <f>'[1]Ясли сады'!DX13</f>
        <v>0</v>
      </c>
      <c r="F58" s="52">
        <f>'[1]Ясли сады'!DF13</f>
        <v>34418</v>
      </c>
      <c r="G58" s="52">
        <f>'[1]Ясли сады'!CV13</f>
        <v>0</v>
      </c>
      <c r="H58" s="52">
        <f>SUM('[1]Ясли сады'!ED13,'[1]Ясли сады'!ES13:EU13,'[1]Ясли сады'!EY13:FA13)</f>
        <v>18000</v>
      </c>
      <c r="I58" s="53">
        <f t="shared" si="0"/>
        <v>5247749.5363999996</v>
      </c>
    </row>
    <row r="59" spans="1:9" x14ac:dyDescent="0.2">
      <c r="A59" s="34">
        <v>41</v>
      </c>
      <c r="B59" s="26" t="str">
        <f>'[1]Ясли сады'!B14:C14</f>
        <v>МКДОУ "Орленок" с.Гагатли</v>
      </c>
      <c r="C59" s="52">
        <f>'[1]Ясли сады'!CN14</f>
        <v>3647478.4995600004</v>
      </c>
      <c r="D59" s="52">
        <f>'[1]Ясли сады'!CQ14</f>
        <v>1847171.99</v>
      </c>
      <c r="E59" s="52">
        <f>'[1]Ясли сады'!DX14</f>
        <v>0</v>
      </c>
      <c r="F59" s="52">
        <f>'[1]Ясли сады'!DF14</f>
        <v>7805.8099999999995</v>
      </c>
      <c r="G59" s="52">
        <f>'[1]Ясли сады'!CV14</f>
        <v>0</v>
      </c>
      <c r="H59" s="52">
        <f>SUM('[1]Ясли сады'!ED14,'[1]Ясли сады'!ES14:EU14,'[1]Ясли сады'!EY14:FA14)</f>
        <v>30500</v>
      </c>
      <c r="I59" s="53">
        <f t="shared" si="0"/>
        <v>5532956.2995600002</v>
      </c>
    </row>
    <row r="60" spans="1:9" x14ac:dyDescent="0.2">
      <c r="A60" s="34">
        <v>42</v>
      </c>
      <c r="B60" s="26" t="str">
        <f>'[1]Ясли сады'!B15:C15</f>
        <v>МКДОУ "Улыбка" с.Муни</v>
      </c>
      <c r="C60" s="52">
        <f>'[1]Ясли сады'!CN15</f>
        <v>3322038.9384000003</v>
      </c>
      <c r="D60" s="52">
        <f>'[1]Ясли сады'!CQ15</f>
        <v>1605814.3900000001</v>
      </c>
      <c r="E60" s="52">
        <f>'[1]Ясли сады'!DX15</f>
        <v>0</v>
      </c>
      <c r="F60" s="52">
        <f>'[1]Ясли сады'!DF15</f>
        <v>8623.5499999999993</v>
      </c>
      <c r="G60" s="52">
        <f>'[1]Ясли сады'!CV15</f>
        <v>0</v>
      </c>
      <c r="H60" s="52">
        <f>SUM('[1]Ясли сады'!ED15,'[1]Ясли сады'!ES15:EU15,'[1]Ясли сады'!EY15:FA15)</f>
        <v>15000</v>
      </c>
      <c r="I60" s="53">
        <f t="shared" si="0"/>
        <v>4951476.8784000007</v>
      </c>
    </row>
    <row r="61" spans="1:9" x14ac:dyDescent="0.2">
      <c r="A61" s="34">
        <v>43</v>
      </c>
      <c r="B61" s="26" t="str">
        <f>'[1]Ясли сады'!B17:C17</f>
        <v>МКДОУ "Ласточка" с.Рахата</v>
      </c>
      <c r="C61" s="52">
        <f>'[1]Ясли сады'!CN17</f>
        <v>5276179.4904000005</v>
      </c>
      <c r="D61" s="52">
        <f>'[1]Ясли сады'!CQ17</f>
        <v>3234071.79</v>
      </c>
      <c r="E61" s="52">
        <f>'[1]Ясли сады'!DX17</f>
        <v>0</v>
      </c>
      <c r="F61" s="52">
        <f>'[1]Ясли сады'!DF17</f>
        <v>10087.790000000001</v>
      </c>
      <c r="G61" s="52">
        <f>'[1]Ясли сады'!CV17</f>
        <v>0</v>
      </c>
      <c r="H61" s="52">
        <f>SUM('[1]Ясли сады'!ED17,'[1]Ясли сады'!ES17:EU17,'[1]Ясли сады'!EY17:FA17)</f>
        <v>18000</v>
      </c>
      <c r="I61" s="53">
        <f t="shared" si="0"/>
        <v>8538339.0703999996</v>
      </c>
    </row>
    <row r="62" spans="1:9" x14ac:dyDescent="0.2">
      <c r="A62" s="34">
        <v>44</v>
      </c>
      <c r="B62" s="26" t="str">
        <f>'[1]Ясли сады'!B18:C18</f>
        <v>МКДОУ "Звездочка" с.Тандо</v>
      </c>
      <c r="C62" s="52">
        <f>'[1]Ясли сады'!CN18</f>
        <v>2344968.6624000003</v>
      </c>
      <c r="D62" s="52">
        <f>'[1]Ясли сады'!CQ18</f>
        <v>783332.31</v>
      </c>
      <c r="E62" s="52">
        <f>'[1]Ясли сады'!DX18</f>
        <v>0</v>
      </c>
      <c r="F62" s="52">
        <f>'[1]Ясли сады'!DF18</f>
        <v>7867.835</v>
      </c>
      <c r="G62" s="52">
        <f>'[1]Ясли сады'!CV18</f>
        <v>0</v>
      </c>
      <c r="H62" s="52">
        <f>SUM('[1]Ясли сады'!ED18,'[1]Ясли сады'!ES18:EU18,'[1]Ясли сады'!EY18:FA18)</f>
        <v>15000</v>
      </c>
      <c r="I62" s="53">
        <f t="shared" si="0"/>
        <v>3151168.8074000003</v>
      </c>
    </row>
    <row r="63" spans="1:9" x14ac:dyDescent="0.2">
      <c r="A63" s="34">
        <v>45</v>
      </c>
      <c r="B63" s="26" t="str">
        <f>'[1]Ясли сады'!B19:C19</f>
        <v>МКДОУ "Радуга" с.Тлох</v>
      </c>
      <c r="C63" s="52">
        <f>'[1]Ясли сады'!CN19</f>
        <v>3171720.4344000001</v>
      </c>
      <c r="D63" s="52">
        <f>'[1]Ясли сады'!CQ19</f>
        <v>1567593.19</v>
      </c>
      <c r="E63" s="52">
        <f>'[1]Ясли сады'!DX19</f>
        <v>0</v>
      </c>
      <c r="F63" s="52">
        <f>'[1]Ясли сады'!DF19</f>
        <v>6595.835</v>
      </c>
      <c r="G63" s="52">
        <f>'[1]Ясли сады'!CV19</f>
        <v>0</v>
      </c>
      <c r="H63" s="52">
        <f>SUM('[1]Ясли сады'!ED19,'[1]Ясли сады'!ES19:EU19,'[1]Ясли сады'!EY19:FA19)</f>
        <v>15000</v>
      </c>
      <c r="I63" s="53">
        <f t="shared" si="0"/>
        <v>4760909.4594000001</v>
      </c>
    </row>
    <row r="64" spans="1:9" x14ac:dyDescent="0.2">
      <c r="A64" s="34">
        <v>46</v>
      </c>
      <c r="B64" s="26" t="str">
        <f>'[1]Ясли сады'!B20:C20</f>
        <v>МКДОУ "Сказка" с.Ашали</v>
      </c>
      <c r="C64" s="52">
        <f>'[1]Ясли сады'!CN20</f>
        <v>2395926.6352559999</v>
      </c>
      <c r="D64" s="52">
        <f>'[1]Ясли сады'!CQ20</f>
        <v>482593.29000000004</v>
      </c>
      <c r="E64" s="52">
        <f>'[1]Ясли сады'!DX20</f>
        <v>0</v>
      </c>
      <c r="F64" s="52">
        <f>'[1]Ясли сады'!DF20</f>
        <v>5715.665</v>
      </c>
      <c r="G64" s="52">
        <f>'[1]Ясли сады'!CV20</f>
        <v>0</v>
      </c>
      <c r="H64" s="52">
        <f>SUM('[1]Ясли сады'!ED20,'[1]Ясли сады'!ES20:EU20,'[1]Ясли сады'!EY20:FA20)</f>
        <v>21600</v>
      </c>
      <c r="I64" s="53">
        <f t="shared" si="0"/>
        <v>2905835.5902559999</v>
      </c>
    </row>
    <row r="65" spans="1:9" x14ac:dyDescent="0.2">
      <c r="A65" s="34">
        <v>47</v>
      </c>
      <c r="B65" s="26" t="str">
        <f>'[1]Ясли сады'!B21:C21</f>
        <v>МКДОУ "Журавлик" с.Шодрода</v>
      </c>
      <c r="C65" s="52">
        <f>'[1]Ясли сады'!CN21</f>
        <v>2083414.4654399999</v>
      </c>
      <c r="D65" s="52">
        <f>'[1]Ясли сады'!CQ21</f>
        <v>585754.89</v>
      </c>
      <c r="E65" s="52">
        <f>'[1]Ясли сады'!DX21</f>
        <v>0</v>
      </c>
      <c r="F65" s="52">
        <f>'[1]Ясли сады'!DF21</f>
        <v>5000</v>
      </c>
      <c r="G65" s="52">
        <f>'[1]Ясли сады'!CV21</f>
        <v>0</v>
      </c>
      <c r="H65" s="52">
        <f>SUM('[1]Ясли сады'!ED21,'[1]Ясли сады'!ES21:EU21,'[1]Ясли сады'!EY21:FA21)</f>
        <v>15000</v>
      </c>
      <c r="I65" s="53">
        <f t="shared" si="0"/>
        <v>2689169.3554400001</v>
      </c>
    </row>
    <row r="66" spans="1:9" x14ac:dyDescent="0.2">
      <c r="A66" s="34">
        <v>48</v>
      </c>
      <c r="B66" s="26" t="str">
        <f>'[1]Ясли сады'!B22:C22</f>
        <v>МКДОУ "Теремок" с.Годобери</v>
      </c>
      <c r="C66" s="52">
        <f>'[1]Ясли сады'!CN22</f>
        <v>3346691.1730559999</v>
      </c>
      <c r="D66" s="52">
        <f>'[1]Ясли сады'!CQ22</f>
        <v>1367115.8900000001</v>
      </c>
      <c r="E66" s="52">
        <f>'[1]Ясли сады'!DX22</f>
        <v>0</v>
      </c>
      <c r="F66" s="52">
        <f>'[1]Ясли сады'!DF22</f>
        <v>5823.3950000000004</v>
      </c>
      <c r="G66" s="52">
        <f>'[1]Ясли сады'!CV22</f>
        <v>0</v>
      </c>
      <c r="H66" s="52">
        <f>SUM('[1]Ясли сады'!ED22,'[1]Ясли сады'!ES22:EU22,'[1]Ясли сады'!EY22:FA22)</f>
        <v>15000</v>
      </c>
      <c r="I66" s="53">
        <f t="shared" si="0"/>
        <v>4734630.4580559991</v>
      </c>
    </row>
    <row r="67" spans="1:9" x14ac:dyDescent="0.2">
      <c r="A67" s="34">
        <v>49</v>
      </c>
      <c r="B67" s="26" t="str">
        <f>'[1]Ясли сады'!B23:C23</f>
        <v>МКДОУ "Орленок" с.Зило</v>
      </c>
      <c r="C67" s="52">
        <f>'[1]Ясли сады'!CN23</f>
        <v>2395926.6352559999</v>
      </c>
      <c r="D67" s="52">
        <f>'[1]Ясли сады'!CQ23</f>
        <v>566872.39</v>
      </c>
      <c r="E67" s="52">
        <f>'[1]Ясли сады'!DX23</f>
        <v>0</v>
      </c>
      <c r="F67" s="52">
        <f>'[1]Ясли сады'!DF23</f>
        <v>7110.62</v>
      </c>
      <c r="G67" s="52">
        <f>'[1]Ясли сады'!CV23</f>
        <v>0</v>
      </c>
      <c r="H67" s="52">
        <f>SUM('[1]Ясли сады'!ED23,'[1]Ясли сады'!ES23:EU23,'[1]Ясли сады'!EY23:FA23)</f>
        <v>33000</v>
      </c>
      <c r="I67" s="53">
        <f>SUM(C67,D67,F67,G67,H67)</f>
        <v>3002909.6452560001</v>
      </c>
    </row>
    <row r="68" spans="1:9" x14ac:dyDescent="0.2">
      <c r="A68" s="34"/>
      <c r="B68" s="34" t="s">
        <v>536</v>
      </c>
      <c r="C68" s="53">
        <f t="shared" ref="C68:I68" si="5">SUM(C52:C67)</f>
        <v>57198746.186567999</v>
      </c>
      <c r="D68" s="53">
        <f t="shared" si="5"/>
        <v>32830845.134</v>
      </c>
      <c r="E68" s="53">
        <f t="shared" si="5"/>
        <v>1000000</v>
      </c>
      <c r="F68" s="53">
        <f t="shared" si="5"/>
        <v>172031.21104999998</v>
      </c>
      <c r="G68" s="53">
        <f t="shared" si="5"/>
        <v>0</v>
      </c>
      <c r="H68" s="53">
        <f t="shared" si="5"/>
        <v>308900</v>
      </c>
      <c r="I68" s="53">
        <f t="shared" si="5"/>
        <v>90510522.531618014</v>
      </c>
    </row>
    <row r="69" spans="1:9" x14ac:dyDescent="0.2">
      <c r="A69" s="34">
        <v>50</v>
      </c>
      <c r="B69" s="26" t="s">
        <v>174</v>
      </c>
      <c r="C69" s="52">
        <f>'[1]МКУ "ИМЦ УО"'!AY7</f>
        <v>7143351.493710001</v>
      </c>
      <c r="D69" s="52">
        <f>'[1]МКУ "ИМЦ УО"'!BA7</f>
        <v>1394802.6</v>
      </c>
      <c r="E69" s="52">
        <f>'[1]МКУ "ИМЦ УО"'!CD7</f>
        <v>0</v>
      </c>
      <c r="F69" s="52">
        <f>'[1]МКУ "ИМЦ УО"'!BP7</f>
        <v>20000</v>
      </c>
      <c r="G69" s="52">
        <f>'[1]МКУ "ИМЦ УО"'!BF7</f>
        <v>0</v>
      </c>
      <c r="H69" s="52">
        <f>SUM('[1]МКУ "ИМЦ УО"'!CJ7,'[1]МКУ "ИМЦ УО"'!CU7,'[1]МКУ "ИМЦ УО"'!DA7:DC7)</f>
        <v>0</v>
      </c>
      <c r="I69" s="53">
        <f>SUM(C69,D69,F69,G69,H69)</f>
        <v>8558154.0937100016</v>
      </c>
    </row>
    <row r="70" spans="1:9" x14ac:dyDescent="0.2">
      <c r="A70" s="34">
        <v>51</v>
      </c>
      <c r="B70" s="26" t="s">
        <v>277</v>
      </c>
      <c r="C70" s="52">
        <f>'[1]МКУ "ИМЦ УО"'!AY8</f>
        <v>0</v>
      </c>
      <c r="D70" s="52">
        <f>'[1]МКУ "ИМЦ УО"'!BA8</f>
        <v>450000</v>
      </c>
      <c r="E70" s="52">
        <f>'[1]МКУ "ИМЦ УО"'!CD8</f>
        <v>0</v>
      </c>
      <c r="F70" s="52">
        <f>'[1]МКУ "ИМЦ УО"'!BP8</f>
        <v>0</v>
      </c>
      <c r="G70" s="52">
        <f>'[1]МКУ "ИМЦ УО"'!BF8</f>
        <v>0</v>
      </c>
      <c r="H70" s="52">
        <f>SUM('[1]МКУ "ИМЦ УО"'!CJ8,'[1]МКУ "ИМЦ УО"'!CU8,'[1]МКУ "ИМЦ УО"'!DA8:DC8)</f>
        <v>0</v>
      </c>
      <c r="I70" s="53">
        <f t="shared" si="0"/>
        <v>450000</v>
      </c>
    </row>
    <row r="71" spans="1:9" x14ac:dyDescent="0.2">
      <c r="A71" s="1"/>
      <c r="B71" s="34" t="s">
        <v>763</v>
      </c>
      <c r="C71" s="53">
        <f>SUM(C69:C70)</f>
        <v>7143351.493710001</v>
      </c>
      <c r="D71" s="53">
        <f t="shared" ref="D71:I71" si="6">SUM(D69:D70)</f>
        <v>1844802.6</v>
      </c>
      <c r="E71" s="53">
        <f t="shared" si="6"/>
        <v>0</v>
      </c>
      <c r="F71" s="53">
        <f t="shared" si="6"/>
        <v>20000</v>
      </c>
      <c r="G71" s="53">
        <f t="shared" si="6"/>
        <v>0</v>
      </c>
      <c r="H71" s="53">
        <f t="shared" si="6"/>
        <v>0</v>
      </c>
      <c r="I71" s="53">
        <f t="shared" si="6"/>
        <v>9008154.0937100016</v>
      </c>
    </row>
    <row r="72" spans="1:9" x14ac:dyDescent="0.2">
      <c r="A72" s="1"/>
      <c r="B72" s="332" t="s">
        <v>97</v>
      </c>
      <c r="C72" s="333">
        <f>SUM(C35,C41,C48,C51,C68,C71)</f>
        <v>91341816.289877996</v>
      </c>
      <c r="D72" s="333">
        <f t="shared" ref="D72:I72" si="7">SUM(D35,D41,D48,D51,D68,D71)</f>
        <v>94571602.459575742</v>
      </c>
      <c r="E72" s="333">
        <f t="shared" si="7"/>
        <v>1000000</v>
      </c>
      <c r="F72" s="333">
        <f t="shared" si="7"/>
        <v>1410357.5760499998</v>
      </c>
      <c r="G72" s="333">
        <f t="shared" si="7"/>
        <v>0</v>
      </c>
      <c r="H72" s="333">
        <f t="shared" si="7"/>
        <v>1113400</v>
      </c>
      <c r="I72" s="333">
        <f t="shared" si="7"/>
        <v>188437176.32550377</v>
      </c>
    </row>
    <row r="74" spans="1:9" x14ac:dyDescent="0.2">
      <c r="B74" s="203" t="s">
        <v>164</v>
      </c>
      <c r="I74" s="120">
        <f>SUM(I52:I67)</f>
        <v>90510522.531618014</v>
      </c>
    </row>
    <row r="75" spans="1:9" x14ac:dyDescent="0.2">
      <c r="B75" s="203" t="s">
        <v>165</v>
      </c>
      <c r="I75" s="204">
        <f>SUM(I15:I45)</f>
        <v>176613377.28607768</v>
      </c>
    </row>
    <row r="76" spans="1:9" x14ac:dyDescent="0.2">
      <c r="B76" s="203" t="s">
        <v>338</v>
      </c>
      <c r="I76" s="204">
        <f>SUM(I46:I50)</f>
        <v>1223622.1142738105</v>
      </c>
    </row>
    <row r="77" spans="1:9" x14ac:dyDescent="0.2">
      <c r="B77" s="203" t="s">
        <v>166</v>
      </c>
      <c r="I77" s="204">
        <f>SUM(I69:I70)</f>
        <v>9008154.0937100016</v>
      </c>
    </row>
    <row r="78" spans="1:9" x14ac:dyDescent="0.2">
      <c r="B78" s="203" t="s">
        <v>167</v>
      </c>
      <c r="I78" s="205">
        <f>SUM(I74:I77)</f>
        <v>277355676.02567947</v>
      </c>
    </row>
  </sheetData>
  <mergeCells count="12">
    <mergeCell ref="B2:I2"/>
    <mergeCell ref="D6:D13"/>
    <mergeCell ref="E6:E13"/>
    <mergeCell ref="A6:A13"/>
    <mergeCell ref="F6:F13"/>
    <mergeCell ref="B3:I3"/>
    <mergeCell ref="I6:I13"/>
    <mergeCell ref="G6:G13"/>
    <mergeCell ref="B6:B13"/>
    <mergeCell ref="C6:C13"/>
    <mergeCell ref="H6:H13"/>
    <mergeCell ref="C4:G4"/>
  </mergeCells>
  <phoneticPr fontId="0" type="noConversion"/>
  <pageMargins left="0.75" right="0.75" top="1" bottom="1" header="0.5" footer="0.5"/>
  <pageSetup paperSize="9" scale="72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62"/>
  <sheetViews>
    <sheetView view="pageBreakPreview" zoomScale="60" zoomScaleNormal="100" workbookViewId="0">
      <selection activeCell="E27" sqref="E27"/>
    </sheetView>
  </sheetViews>
  <sheetFormatPr defaultRowHeight="12.75" x14ac:dyDescent="0.2"/>
  <cols>
    <col min="1" max="1" width="62.5703125" customWidth="1"/>
    <col min="2" max="2" width="5.42578125" customWidth="1"/>
    <col min="3" max="3" width="6.140625" customWidth="1"/>
    <col min="4" max="4" width="13.7109375" customWidth="1"/>
    <col min="5" max="6" width="13.28515625" customWidth="1"/>
  </cols>
  <sheetData>
    <row r="1" spans="1:10" ht="14.1" customHeight="1" x14ac:dyDescent="0.2">
      <c r="A1" s="380" t="s">
        <v>811</v>
      </c>
      <c r="B1" s="380"/>
      <c r="C1" s="380"/>
      <c r="D1" s="380"/>
      <c r="E1" s="380"/>
      <c r="F1" s="380"/>
    </row>
    <row r="2" spans="1:10" ht="14.1" customHeight="1" x14ac:dyDescent="0.2">
      <c r="A2" s="380" t="s">
        <v>864</v>
      </c>
      <c r="B2" s="380"/>
      <c r="C2" s="380"/>
      <c r="D2" s="380"/>
      <c r="E2" s="380"/>
      <c r="F2" s="380"/>
    </row>
    <row r="3" spans="1:10" ht="14.1" customHeight="1" x14ac:dyDescent="0.2">
      <c r="A3" s="380" t="s">
        <v>865</v>
      </c>
      <c r="B3" s="380"/>
      <c r="C3" s="380"/>
      <c r="D3" s="380"/>
      <c r="E3" s="380"/>
      <c r="F3" s="380"/>
    </row>
    <row r="4" spans="1:10" ht="12" customHeight="1" x14ac:dyDescent="0.25">
      <c r="A4" s="9"/>
      <c r="B4" s="16"/>
      <c r="C4" s="10"/>
      <c r="D4" s="11"/>
      <c r="E4" s="83"/>
    </row>
    <row r="5" spans="1:10" ht="16.5" customHeight="1" x14ac:dyDescent="0.2">
      <c r="A5" s="379" t="s">
        <v>161</v>
      </c>
      <c r="B5" s="379"/>
      <c r="C5" s="379"/>
      <c r="D5" s="379"/>
      <c r="E5" s="379"/>
      <c r="F5" s="379"/>
    </row>
    <row r="6" spans="1:10" ht="16.5" customHeight="1" x14ac:dyDescent="0.2">
      <c r="A6" s="379" t="s">
        <v>162</v>
      </c>
      <c r="B6" s="379"/>
      <c r="C6" s="379"/>
      <c r="D6" s="379"/>
      <c r="E6" s="379"/>
      <c r="F6" s="379"/>
    </row>
    <row r="7" spans="1:10" ht="13.7" customHeight="1" x14ac:dyDescent="0.2">
      <c r="A7" s="379" t="s">
        <v>812</v>
      </c>
      <c r="B7" s="379"/>
      <c r="C7" s="379"/>
      <c r="D7" s="379"/>
      <c r="E7" s="379"/>
      <c r="F7" s="379"/>
    </row>
    <row r="8" spans="1:10" ht="15.75" x14ac:dyDescent="0.25">
      <c r="A8" s="17" t="s">
        <v>33</v>
      </c>
      <c r="B8" s="138"/>
      <c r="C8" s="138"/>
      <c r="D8" s="138"/>
      <c r="E8" s="17"/>
    </row>
    <row r="9" spans="1:10" ht="42" customHeight="1" x14ac:dyDescent="0.2">
      <c r="A9" s="139" t="s">
        <v>25</v>
      </c>
      <c r="B9" s="140" t="s">
        <v>182</v>
      </c>
      <c r="C9" s="139" t="s">
        <v>183</v>
      </c>
      <c r="D9" s="141" t="s">
        <v>813</v>
      </c>
      <c r="E9" s="141" t="s">
        <v>487</v>
      </c>
      <c r="F9" s="141" t="s">
        <v>772</v>
      </c>
    </row>
    <row r="10" spans="1:10" ht="14.25" customHeight="1" x14ac:dyDescent="0.2">
      <c r="A10" s="142" t="s">
        <v>60</v>
      </c>
      <c r="B10" s="142" t="s">
        <v>61</v>
      </c>
      <c r="C10" s="142" t="s">
        <v>62</v>
      </c>
      <c r="D10" s="137">
        <v>4</v>
      </c>
      <c r="E10" s="142" t="s">
        <v>63</v>
      </c>
      <c r="F10" s="137">
        <v>5</v>
      </c>
    </row>
    <row r="11" spans="1:10" x14ac:dyDescent="0.2">
      <c r="A11" s="143" t="s">
        <v>115</v>
      </c>
      <c r="B11" s="12" t="s">
        <v>66</v>
      </c>
      <c r="C11" s="18"/>
      <c r="D11" s="306">
        <f>SUM(D12:D18)</f>
        <v>54715960.381080002</v>
      </c>
      <c r="E11" s="306">
        <f>SUM(E12:E18)</f>
        <v>54094558.700580001</v>
      </c>
      <c r="F11" s="306">
        <f>SUM(F12:F18)</f>
        <v>54137788.700580001</v>
      </c>
    </row>
    <row r="12" spans="1:10" ht="25.5" x14ac:dyDescent="0.2">
      <c r="A12" s="144" t="s">
        <v>142</v>
      </c>
      <c r="B12" s="15" t="s">
        <v>66</v>
      </c>
      <c r="C12" s="13" t="s">
        <v>67</v>
      </c>
      <c r="D12" s="307">
        <f>'[1]ВСРБМР прил №2'!G10</f>
        <v>1943699.2739199998</v>
      </c>
      <c r="E12" s="307">
        <f>'[1]ВСРБМР прил №2'!H10</f>
        <v>1943699.2739199998</v>
      </c>
      <c r="F12" s="307">
        <f>'[1]ВСРБМР прил №2'!I10</f>
        <v>1943699.2739199998</v>
      </c>
    </row>
    <row r="13" spans="1:10" s="3" customFormat="1" ht="38.25" x14ac:dyDescent="0.2">
      <c r="A13" s="144" t="s">
        <v>85</v>
      </c>
      <c r="B13" s="15" t="s">
        <v>66</v>
      </c>
      <c r="C13" s="13" t="s">
        <v>71</v>
      </c>
      <c r="D13" s="307">
        <f>'[1]ВСРБМР прил №2'!G14</f>
        <v>2149571.3926399997</v>
      </c>
      <c r="E13" s="307">
        <f>'[1]ВСРБМР прил №2'!H14</f>
        <v>2149571.3926399997</v>
      </c>
      <c r="F13" s="307">
        <f>'[1]ВСРБМР прил №2'!I14</f>
        <v>2149571.3926399997</v>
      </c>
      <c r="J13" s="3" t="s">
        <v>297</v>
      </c>
    </row>
    <row r="14" spans="1:10" ht="38.25" x14ac:dyDescent="0.2">
      <c r="A14" s="144" t="s">
        <v>208</v>
      </c>
      <c r="B14" s="15" t="s">
        <v>66</v>
      </c>
      <c r="C14" s="13" t="s">
        <v>69</v>
      </c>
      <c r="D14" s="307">
        <f>'[1]ВСРБМР прил №2'!G17</f>
        <v>16104650.067600003</v>
      </c>
      <c r="E14" s="307">
        <f>SUM('[1]ВСРБМР прил №2'!H17,'[1]ВСРБМР прил №2'!H21)</f>
        <v>15491238.387100002</v>
      </c>
      <c r="F14" s="307">
        <f>SUM('[1]ВСРБМР прил №2'!I17,'[1]ВСРБМР прил №2'!I21)</f>
        <v>15491238.387100002</v>
      </c>
    </row>
    <row r="15" spans="1:10" x14ac:dyDescent="0.2">
      <c r="A15" s="292" t="s">
        <v>692</v>
      </c>
      <c r="B15" s="14" t="s">
        <v>66</v>
      </c>
      <c r="C15" s="13" t="s">
        <v>74</v>
      </c>
      <c r="D15" s="307">
        <f>'[1]ВСРБМР прил №2'!G27</f>
        <v>3890</v>
      </c>
      <c r="E15" s="307">
        <f>'[1]ВСРБМР прил №2'!H27</f>
        <v>25400</v>
      </c>
      <c r="F15" s="307">
        <f>'[1]ВСРБМР прил №2'!I27</f>
        <v>68630</v>
      </c>
    </row>
    <row r="16" spans="1:10" ht="25.5" x14ac:dyDescent="0.2">
      <c r="A16" s="144" t="s">
        <v>121</v>
      </c>
      <c r="B16" s="15" t="s">
        <v>66</v>
      </c>
      <c r="C16" s="13" t="s">
        <v>68</v>
      </c>
      <c r="D16" s="307">
        <f>SUM('[1]ВСРБМР прил №2'!G29,'[1]ВСРБМР прил №2'!G33,'[1]ВСРБМР прил №2'!G35)</f>
        <v>8553201.8968000002</v>
      </c>
      <c r="E16" s="307">
        <f>SUM('[1]ВСРБМР прил №2'!H29,'[1]ВСРБМР прил №2'!H33,'[1]ВСРБМР прил №2'!H35)</f>
        <v>8523701.8968000002</v>
      </c>
      <c r="F16" s="307">
        <f>SUM('[1]ВСРБМР прил №2'!I29,'[1]ВСРБМР прил №2'!I33,'[1]ВСРБМР прил №2'!I35)</f>
        <v>8523701.8968000002</v>
      </c>
    </row>
    <row r="17" spans="1:7" x14ac:dyDescent="0.2">
      <c r="A17" s="144" t="s">
        <v>87</v>
      </c>
      <c r="B17" s="15" t="s">
        <v>66</v>
      </c>
      <c r="C17" s="13" t="s">
        <v>227</v>
      </c>
      <c r="D17" s="307">
        <f>'[1]ВСРБМР прил №2'!G39</f>
        <v>9120126.2999999989</v>
      </c>
      <c r="E17" s="307">
        <f>'[1]ВСРБМР прил №2'!H39</f>
        <v>9120126.2999999989</v>
      </c>
      <c r="F17" s="307">
        <f>'[1]ВСРБМР прил №2'!I39</f>
        <v>9120126.2999999989</v>
      </c>
    </row>
    <row r="18" spans="1:7" x14ac:dyDescent="0.2">
      <c r="A18" s="144" t="s">
        <v>91</v>
      </c>
      <c r="B18" s="15" t="s">
        <v>66</v>
      </c>
      <c r="C18" s="13" t="s">
        <v>70</v>
      </c>
      <c r="D18" s="307">
        <f>SUM('[1]ВСРБМР прил №2'!G41,'[1]ВСРБМР прил №2'!G43,'[1]ВСРБМР прил №2'!G45,'[1]ВСРБМР прил №2'!G49,'[1]ВСРБМР прил №2'!G52,'[1]ВСРБМР прил №2'!G55,'[1]ВСРБМР прил №2'!G57,'[1]ВСРБМР прил №2'!G61)</f>
        <v>16840821.450119998</v>
      </c>
      <c r="E18" s="307">
        <f>SUM('[1]ВСРБМР прил №2'!H41,'[1]ВСРБМР прил №2'!H43,'[1]ВСРБМР прил №2'!H45,'[1]ВСРБМР прил №2'!H49,'[1]ВСРБМР прил №2'!H52,'[1]ВСРБМР прил №2'!H55,'[1]ВСРБМР прил №2'!H57,'[1]ВСРБМР прил №2'!H61)</f>
        <v>16840821.450119998</v>
      </c>
      <c r="F18" s="307">
        <f>SUM('[1]ВСРБМР прил №2'!I41,'[1]ВСРБМР прил №2'!I43,'[1]ВСРБМР прил №2'!I45,'[1]ВСРБМР прил №2'!I49,'[1]ВСРБМР прил №2'!I52,'[1]ВСРБМР прил №2'!I55,'[1]ВСРБМР прил №2'!I57,'[1]ВСРБМР прил №2'!I61)</f>
        <v>16840821.450119998</v>
      </c>
    </row>
    <row r="19" spans="1:7" x14ac:dyDescent="0.2">
      <c r="A19" s="143" t="s">
        <v>94</v>
      </c>
      <c r="B19" s="12" t="s">
        <v>67</v>
      </c>
      <c r="C19" s="293"/>
      <c r="D19" s="306">
        <f>D20</f>
        <v>4603400</v>
      </c>
      <c r="E19" s="306">
        <f>E20</f>
        <v>5076400</v>
      </c>
      <c r="F19" s="306">
        <f>F20</f>
        <v>5560600</v>
      </c>
      <c r="G19" t="s">
        <v>33</v>
      </c>
    </row>
    <row r="20" spans="1:7" x14ac:dyDescent="0.2">
      <c r="A20" s="144" t="s">
        <v>693</v>
      </c>
      <c r="B20" s="15" t="s">
        <v>67</v>
      </c>
      <c r="C20" s="13" t="s">
        <v>71</v>
      </c>
      <c r="D20" s="307">
        <f>'[1]ВСРБМР прил №2'!G64</f>
        <v>4603400</v>
      </c>
      <c r="E20" s="307">
        <f>'[1]ВСРБМР прил №2'!H64</f>
        <v>5076400</v>
      </c>
      <c r="F20" s="307">
        <f>'[1]ВСРБМР прил №2'!I64</f>
        <v>5560600</v>
      </c>
    </row>
    <row r="21" spans="1:7" ht="25.5" x14ac:dyDescent="0.2">
      <c r="A21" s="143" t="s">
        <v>92</v>
      </c>
      <c r="B21" s="12" t="s">
        <v>71</v>
      </c>
      <c r="C21" s="293"/>
      <c r="D21" s="306">
        <f>SUM(D22:D23)</f>
        <v>7253154.2034499999</v>
      </c>
      <c r="E21" s="306">
        <f>SUM(E22:E23)</f>
        <v>5273154.2034499999</v>
      </c>
      <c r="F21" s="306">
        <f>SUM(F22:F23)</f>
        <v>5273154.2034499999</v>
      </c>
    </row>
    <row r="22" spans="1:7" x14ac:dyDescent="0.2">
      <c r="A22" s="144" t="s">
        <v>694</v>
      </c>
      <c r="B22" s="14" t="s">
        <v>71</v>
      </c>
      <c r="C22" s="13" t="s">
        <v>72</v>
      </c>
      <c r="D22" s="307">
        <f>'[1]ВСРБМР прил №2'!G67</f>
        <v>250000</v>
      </c>
      <c r="E22" s="307">
        <f>'[1]ВСРБМР прил №2'!H67</f>
        <v>0</v>
      </c>
      <c r="F22" s="307">
        <f>'[1]ВСРБМР прил №2'!I67</f>
        <v>0</v>
      </c>
    </row>
    <row r="23" spans="1:7" ht="25.5" x14ac:dyDescent="0.2">
      <c r="A23" s="144" t="s">
        <v>117</v>
      </c>
      <c r="B23" s="15" t="s">
        <v>71</v>
      </c>
      <c r="C23" s="13">
        <v>10</v>
      </c>
      <c r="D23" s="307">
        <f>SUM('[1]ВСРБМР прил №2'!G69,'[1]ВСРБМР прил №2'!G71,'[1]ВСРБМР прил №2'!G73,'[1]ВСРБМР прил №2'!G76)</f>
        <v>7003154.2034499999</v>
      </c>
      <c r="E23" s="307">
        <f>SUM('[1]ВСРБМР прил №2'!H69,'[1]ВСРБМР прил №2'!H71,'[1]ВСРБМР прил №2'!H73,'[1]ВСРБМР прил №2'!H76,'[1]ВСРБМР прил №2'!H81)</f>
        <v>5273154.2034499999</v>
      </c>
      <c r="F23" s="307">
        <f>SUM('[1]ВСРБМР прил №2'!I69,'[1]ВСРБМР прил №2'!I71,'[1]ВСРБМР прил №2'!I73,'[1]ВСРБМР прил №2'!I76,'[1]ВСРБМР прил №2'!I81)</f>
        <v>5273154.2034499999</v>
      </c>
    </row>
    <row r="24" spans="1:7" x14ac:dyDescent="0.2">
      <c r="A24" s="143" t="s">
        <v>93</v>
      </c>
      <c r="B24" s="12" t="s">
        <v>69</v>
      </c>
      <c r="C24" s="293"/>
      <c r="D24" s="306">
        <f>SUM(D25:D27)</f>
        <v>62483024.750194483</v>
      </c>
      <c r="E24" s="306">
        <f>SUM(E25:E27)</f>
        <v>67756650.731519997</v>
      </c>
      <c r="F24" s="306">
        <f>SUM(F25:F27)</f>
        <v>69603134.231519997</v>
      </c>
    </row>
    <row r="25" spans="1:7" x14ac:dyDescent="0.2">
      <c r="A25" s="144" t="s">
        <v>216</v>
      </c>
      <c r="B25" s="15" t="s">
        <v>69</v>
      </c>
      <c r="C25" s="13" t="s">
        <v>66</v>
      </c>
      <c r="D25" s="307">
        <f>SUM('[1]ВСРБМР прил №2'!G84,'[1]ВСРБМР прил №2'!G86)</f>
        <v>90000.000000000029</v>
      </c>
      <c r="E25" s="307">
        <f>SUM('[1]ВСРБМР прил №2'!H84,'[1]ВСРБМР прил №2'!H86)</f>
        <v>0</v>
      </c>
      <c r="F25" s="307">
        <f>SUM('[1]ВСРБМР прил №2'!I84,'[1]ВСРБМР прил №2'!I86)</f>
        <v>0</v>
      </c>
    </row>
    <row r="26" spans="1:7" x14ac:dyDescent="0.2">
      <c r="A26" s="144" t="s">
        <v>54</v>
      </c>
      <c r="B26" s="15" t="s">
        <v>69</v>
      </c>
      <c r="C26" s="13" t="s">
        <v>74</v>
      </c>
      <c r="D26" s="307">
        <f>'[1]ВСРБМР прил №2'!G88</f>
        <v>3506359.7315199999</v>
      </c>
      <c r="E26" s="307">
        <f>'[1]ВСРБМР прил №2'!H88</f>
        <v>3506359.7315199999</v>
      </c>
      <c r="F26" s="307">
        <f>'[1]ВСРБМР прил №2'!I88</f>
        <v>3506359.7315199999</v>
      </c>
    </row>
    <row r="27" spans="1:7" x14ac:dyDescent="0.2">
      <c r="A27" s="144" t="s">
        <v>217</v>
      </c>
      <c r="B27" s="15" t="s">
        <v>69</v>
      </c>
      <c r="C27" s="13" t="s">
        <v>72</v>
      </c>
      <c r="D27" s="307">
        <f>SUM('[1]ВСРБМР прил №2'!G92,'[1]ВСРБМР прил №2'!G94,'[1]ВСРБМР прил №2'!G97,'[1]ВСРБМР прил №2'!G102,'[1]ВСРБМР прил №2'!G104)</f>
        <v>58886665.018674485</v>
      </c>
      <c r="E27" s="307">
        <f>SUM('[1]ВСРБМР прил №2'!H92,'[1]ВСРБМР прил №2'!H97,'[1]ВСРБМР прил №2'!H104,'[1]ВСРБМР прил №2'!H107)</f>
        <v>64250291</v>
      </c>
      <c r="F27" s="307">
        <f>SUM('[1]ВСРБМР прил №2'!I92,'[1]ВСРБМР прил №2'!I97,'[1]ВСРБМР прил №2'!I104,'[1]ВСРБМР прил №2'!I107)</f>
        <v>66096774.5</v>
      </c>
    </row>
    <row r="28" spans="1:7" x14ac:dyDescent="0.2">
      <c r="A28" s="143" t="s">
        <v>2</v>
      </c>
      <c r="B28" s="12" t="s">
        <v>74</v>
      </c>
      <c r="C28" s="293"/>
      <c r="D28" s="306">
        <f>SUM(D29:D33)</f>
        <v>55337188.979658887</v>
      </c>
      <c r="E28" s="306">
        <f t="shared" ref="E28:F28" si="0">SUM(E29:E33)</f>
        <v>15712887.75</v>
      </c>
      <c r="F28" s="306">
        <f t="shared" si="0"/>
        <v>15712887.75</v>
      </c>
    </row>
    <row r="29" spans="1:7" x14ac:dyDescent="0.2">
      <c r="A29" s="144" t="s">
        <v>228</v>
      </c>
      <c r="B29" s="15" t="s">
        <v>69</v>
      </c>
      <c r="C29" s="13" t="s">
        <v>86</v>
      </c>
      <c r="D29" s="307">
        <f>'[1]ВСРБМР прил №2'!G110</f>
        <v>200000</v>
      </c>
      <c r="E29" s="307">
        <f>'[1]ВСРБМР прил №2'!H110</f>
        <v>200000</v>
      </c>
      <c r="F29" s="307">
        <f>'[1]ВСРБМР прил №2'!I110</f>
        <v>200000</v>
      </c>
    </row>
    <row r="30" spans="1:7" x14ac:dyDescent="0.2">
      <c r="A30" s="144" t="s">
        <v>135</v>
      </c>
      <c r="B30" s="14" t="s">
        <v>74</v>
      </c>
      <c r="C30" s="13" t="s">
        <v>66</v>
      </c>
      <c r="D30" s="307">
        <f>SUM('[1]ВСРБМР прил №2'!G112,'[1]ВСРБМР прил №2'!G115,'[1]ВСРБМР прил №2'!G117)</f>
        <v>1081448</v>
      </c>
      <c r="E30" s="307">
        <f>SUM('[1]ВСРБМР прил №2'!H112,'[1]ВСРБМР прил №2'!H115)</f>
        <v>0</v>
      </c>
      <c r="F30" s="307">
        <f>SUM('[1]ВСРБМР прил №2'!I112,'[1]ВСРБМР прил №2'!I115)</f>
        <v>0</v>
      </c>
    </row>
    <row r="31" spans="1:7" x14ac:dyDescent="0.2">
      <c r="A31" s="144" t="s">
        <v>46</v>
      </c>
      <c r="B31" s="15" t="s">
        <v>74</v>
      </c>
      <c r="C31" s="13" t="s">
        <v>67</v>
      </c>
      <c r="D31" s="307">
        <f>SUM('[1]ВСРБМР прил №2'!G118,'[1]ВСРБМР прил №2'!G120,'[1]ВСРБМР прил №2'!G122,'[1]ВСРБМР прил №2'!G126)</f>
        <v>8355853.7500000009</v>
      </c>
      <c r="E31" s="307">
        <f>SUM('[1]ВСРБМР прил №2'!H118,'[1]ВСРБМР прил №2'!H120,'[1]ВСРБМР прил №2'!H122,'[1]ВСРБМР прил №2'!H126)</f>
        <v>3405853.75</v>
      </c>
      <c r="F31" s="307">
        <f>SUM('[1]ВСРБМР прил №2'!I118,'[1]ВСРБМР прил №2'!I120,'[1]ВСРБМР прил №2'!I122,'[1]ВСРБМР прил №2'!I126)</f>
        <v>3405853.75</v>
      </c>
    </row>
    <row r="32" spans="1:7" x14ac:dyDescent="0.2">
      <c r="A32" s="144" t="s">
        <v>136</v>
      </c>
      <c r="B32" s="15" t="s">
        <v>74</v>
      </c>
      <c r="C32" s="13" t="s">
        <v>71</v>
      </c>
      <c r="D32" s="307">
        <f>SUM('[1]ВСРБМР прил №2'!G128,'[1]ВСРБМР прил №2'!G130,'[1]ВСРБМР прил №2'!G132,'[1]ВСРБМР прил №2'!G134)</f>
        <v>34277462.256888889</v>
      </c>
      <c r="E32" s="307">
        <f>SUM('[1]ВСРБМР прил №2'!H128,'[1]ВСРБМР прил №2'!H130,'[1]ВСРБМР прил №2'!H132,'[1]ВСРБМР прил №2'!H134)</f>
        <v>0</v>
      </c>
      <c r="F32" s="307">
        <f>SUM('[1]ВСРБМР прил №2'!I128,'[1]ВСРБМР прил №2'!I130,'[1]ВСРБМР прил №2'!I132,'[1]ВСРБМР прил №2'!I134)</f>
        <v>0</v>
      </c>
    </row>
    <row r="33" spans="1:6" x14ac:dyDescent="0.2">
      <c r="A33" s="144" t="s">
        <v>137</v>
      </c>
      <c r="B33" s="15" t="s">
        <v>74</v>
      </c>
      <c r="C33" s="13" t="s">
        <v>74</v>
      </c>
      <c r="D33" s="307">
        <f>'[1]ВСРБМР прил №2'!G136</f>
        <v>11422424.97277</v>
      </c>
      <c r="E33" s="307">
        <f>'[1]ВСРБМР прил №2'!H136</f>
        <v>12107034</v>
      </c>
      <c r="F33" s="307">
        <f>'[1]ВСРБМР прил №2'!I136</f>
        <v>12107034</v>
      </c>
    </row>
    <row r="34" spans="1:6" x14ac:dyDescent="0.2">
      <c r="A34" s="143" t="s">
        <v>138</v>
      </c>
      <c r="B34" s="12" t="s">
        <v>75</v>
      </c>
      <c r="C34" s="293"/>
      <c r="D34" s="306">
        <f>SUM(D35:D39)</f>
        <v>931938457.04674995</v>
      </c>
      <c r="E34" s="306">
        <f>SUM(E35:E39)</f>
        <v>919179228.4831742</v>
      </c>
      <c r="F34" s="306">
        <f>SUM(F35:F39)</f>
        <v>965519397.96317422</v>
      </c>
    </row>
    <row r="35" spans="1:6" x14ac:dyDescent="0.2">
      <c r="A35" s="144" t="s">
        <v>139</v>
      </c>
      <c r="B35" s="15" t="s">
        <v>75</v>
      </c>
      <c r="C35" s="13" t="s">
        <v>66</v>
      </c>
      <c r="D35" s="307">
        <f>SUM('[1]ВСРБМР прил №2'!G142,'[1]ВСРБМР прил №2'!G81)</f>
        <v>246847934.63634598</v>
      </c>
      <c r="E35" s="307">
        <f>'[1]ВСРБМР прил №2'!H142</f>
        <v>235659054.50234598</v>
      </c>
      <c r="F35" s="307">
        <f>'[1]ВСРБМР прил №2'!I142</f>
        <v>227018041.50234598</v>
      </c>
    </row>
    <row r="36" spans="1:6" x14ac:dyDescent="0.2">
      <c r="A36" s="144" t="s">
        <v>140</v>
      </c>
      <c r="B36" s="15" t="s">
        <v>75</v>
      </c>
      <c r="C36" s="13" t="s">
        <v>67</v>
      </c>
      <c r="D36" s="307">
        <f>SUM('[1]ВСРБМР прил №2'!G155,'[1]ВСРБМР прил №2'!G82)</f>
        <v>664018062.46835387</v>
      </c>
      <c r="E36" s="307">
        <f>'[1]ВСРБМР прил №2'!H155+1927583</f>
        <v>663978206.28877819</v>
      </c>
      <c r="F36" s="307">
        <f>'[1]ВСРБМР прил №2'!I155+1927584</f>
        <v>718959388.7687782</v>
      </c>
    </row>
    <row r="37" spans="1:6" x14ac:dyDescent="0.2">
      <c r="A37" s="144" t="s">
        <v>695</v>
      </c>
      <c r="B37" s="15" t="s">
        <v>75</v>
      </c>
      <c r="C37" s="13" t="s">
        <v>71</v>
      </c>
      <c r="D37" s="307">
        <f>SUM('[1]ВСРБМР прил №2'!G176)</f>
        <v>8861239.0943999998</v>
      </c>
      <c r="E37" s="307">
        <f>'[1]ВСРБМР прил №2'!H176</f>
        <v>8861239.0943999998</v>
      </c>
      <c r="F37" s="307">
        <f>'[1]ВСРБМР прил №2'!I176</f>
        <v>8861239.0943999998</v>
      </c>
    </row>
    <row r="38" spans="1:6" x14ac:dyDescent="0.2">
      <c r="A38" s="144" t="s">
        <v>814</v>
      </c>
      <c r="B38" s="15" t="s">
        <v>75</v>
      </c>
      <c r="C38" s="13" t="s">
        <v>75</v>
      </c>
      <c r="D38" s="307">
        <f>'[1]ВСРБМР прил №2'!G178</f>
        <v>247099.45</v>
      </c>
      <c r="E38" s="307">
        <f>'[1]ВСРБМР прил №2'!H178</f>
        <v>52416</v>
      </c>
      <c r="F38" s="307">
        <f>'[1]ВСРБМР прил №2'!I178</f>
        <v>52416</v>
      </c>
    </row>
    <row r="39" spans="1:6" x14ac:dyDescent="0.2">
      <c r="A39" s="144" t="s">
        <v>125</v>
      </c>
      <c r="B39" s="15" t="s">
        <v>75</v>
      </c>
      <c r="C39" s="13" t="s">
        <v>72</v>
      </c>
      <c r="D39" s="307">
        <f>'[1]ВСРБМР прил №2'!G180</f>
        <v>11964121.39765</v>
      </c>
      <c r="E39" s="307">
        <f>SUM('[1]ВСРБМР прил №2'!H180,'[1]ВСРБМР прил №2'!H178)</f>
        <v>10628312.597650001</v>
      </c>
      <c r="F39" s="307">
        <f>SUM('[1]ВСРБМР прил №2'!I180,'[1]ВСРБМР прил №2'!I178)</f>
        <v>10628312.597650001</v>
      </c>
    </row>
    <row r="40" spans="1:6" x14ac:dyDescent="0.2">
      <c r="A40" s="143" t="s">
        <v>122</v>
      </c>
      <c r="B40" s="12" t="s">
        <v>73</v>
      </c>
      <c r="C40" s="293"/>
      <c r="D40" s="306">
        <f>SUM(D41:D41)</f>
        <v>41319189.369049996</v>
      </c>
      <c r="E40" s="306">
        <f>SUM(E41:E41)</f>
        <v>35149406.155050002</v>
      </c>
      <c r="F40" s="306">
        <f>SUM(F41:F41)</f>
        <v>35156280.685050003</v>
      </c>
    </row>
    <row r="41" spans="1:6" x14ac:dyDescent="0.2">
      <c r="A41" s="144" t="s">
        <v>126</v>
      </c>
      <c r="B41" s="15" t="s">
        <v>73</v>
      </c>
      <c r="C41" s="13" t="s">
        <v>66</v>
      </c>
      <c r="D41" s="307">
        <f>'[1]ВСРБМР прил №2'!G197</f>
        <v>41319189.369049996</v>
      </c>
      <c r="E41" s="307">
        <f>SUM('[1]ВСРБМР прил №2'!H198,'[1]ВСРБМР прил №2'!H204,'[1]ВСРБМР прил №2'!H206,'[1]ВСРБМР прил №2'!H211,'[1]ВСРБМР прил №2'!H218,'[1]ВСРБМР прил №2'!H220,'[1]ВСРБМР прил №2'!H222)</f>
        <v>35149406.155050002</v>
      </c>
      <c r="F41" s="307">
        <f>SUM('[1]ВСРБМР прил №2'!I198,'[1]ВСРБМР прил №2'!I204,'[1]ВСРБМР прил №2'!I206,'[1]ВСРБМР прил №2'!I211,'[1]ВСРБМР прил №2'!I218,'[1]ВСРБМР прил №2'!I220,'[1]ВСРБМР прил №2'!I222)</f>
        <v>35156280.685050003</v>
      </c>
    </row>
    <row r="42" spans="1:6" x14ac:dyDescent="0.2">
      <c r="A42" s="143" t="s">
        <v>128</v>
      </c>
      <c r="B42" s="12" t="s">
        <v>127</v>
      </c>
      <c r="C42" s="293"/>
      <c r="D42" s="306">
        <f>SUM(D43:D46)</f>
        <v>8935400.0525000002</v>
      </c>
      <c r="E42" s="306">
        <f>SUM(E43:E46)</f>
        <v>9046399.6425000001</v>
      </c>
      <c r="F42" s="306">
        <f>SUM(F43:F46)</f>
        <v>9160399.6425000001</v>
      </c>
    </row>
    <row r="43" spans="1:6" x14ac:dyDescent="0.2">
      <c r="A43" s="144" t="s">
        <v>129</v>
      </c>
      <c r="B43" s="15" t="s">
        <v>127</v>
      </c>
      <c r="C43" s="13" t="s">
        <v>66</v>
      </c>
      <c r="D43" s="307">
        <f>'[1]ВСРБМР прил №2'!G229</f>
        <v>2750000</v>
      </c>
      <c r="E43" s="307">
        <f>'[1]ВСРБМР прил №2'!H229</f>
        <v>2750000</v>
      </c>
      <c r="F43" s="307">
        <f>'[1]ВСРБМР прил №2'!I229</f>
        <v>2750000</v>
      </c>
    </row>
    <row r="44" spans="1:6" x14ac:dyDescent="0.2">
      <c r="A44" s="144" t="s">
        <v>224</v>
      </c>
      <c r="B44" s="15" t="s">
        <v>127</v>
      </c>
      <c r="C44" s="13" t="s">
        <v>71</v>
      </c>
      <c r="D44" s="307">
        <f>'[1]ВСРБМР прил №2'!G231</f>
        <v>12000</v>
      </c>
      <c r="E44" s="307">
        <f>'[1]ВСРБМР прил №2'!H231</f>
        <v>12000</v>
      </c>
      <c r="F44" s="307">
        <f>'[1]ВСРБМР прил №2'!I231</f>
        <v>12000</v>
      </c>
    </row>
    <row r="45" spans="1:6" x14ac:dyDescent="0.2">
      <c r="A45" s="144" t="s">
        <v>225</v>
      </c>
      <c r="B45" s="15" t="s">
        <v>127</v>
      </c>
      <c r="C45" s="13" t="s">
        <v>69</v>
      </c>
      <c r="D45" s="307">
        <f>SUM('[1]ВСРБМР прил №2'!G233,'[1]ВСРБМР прил №2'!G236,'[1]ВСРБМР прил №2'!G238)</f>
        <v>5386400.4100000001</v>
      </c>
      <c r="E45" s="307">
        <f>SUM('[1]ВСРБМР прил №2'!H233,'[1]ВСРБМР прил №2'!H236,'[1]ВСРБМР прил №2'!H238)</f>
        <v>5458400</v>
      </c>
      <c r="F45" s="307">
        <f>SUM('[1]ВСРБМР прил №2'!I233,'[1]ВСРБМР прил №2'!I236,'[1]ВСРБМР прил №2'!I238)</f>
        <v>5542400</v>
      </c>
    </row>
    <row r="46" spans="1:6" x14ac:dyDescent="0.2">
      <c r="A46" s="144" t="s">
        <v>226</v>
      </c>
      <c r="B46" s="15" t="s">
        <v>127</v>
      </c>
      <c r="C46" s="13" t="s">
        <v>68</v>
      </c>
      <c r="D46" s="307">
        <f>'[1]ВСРБМР прил №2'!G240</f>
        <v>786999.64249999996</v>
      </c>
      <c r="E46" s="307">
        <f>'[1]ВСРБМР прил №2'!H240</f>
        <v>825999.64249999996</v>
      </c>
      <c r="F46" s="307">
        <f>'[1]ВСРБМР прил №2'!I240</f>
        <v>855999.64249999996</v>
      </c>
    </row>
    <row r="47" spans="1:6" x14ac:dyDescent="0.2">
      <c r="A47" s="143" t="s">
        <v>39</v>
      </c>
      <c r="B47" s="12" t="s">
        <v>227</v>
      </c>
      <c r="C47" s="293"/>
      <c r="D47" s="306">
        <f>SUM(D48:D50)</f>
        <v>82593922.599319994</v>
      </c>
      <c r="E47" s="306">
        <f>SUM(E48:E50)</f>
        <v>74783494.599320009</v>
      </c>
      <c r="F47" s="306">
        <f>SUM(F48:F50)</f>
        <v>80202571.599319994</v>
      </c>
    </row>
    <row r="48" spans="1:6" x14ac:dyDescent="0.2">
      <c r="A48" s="144" t="s">
        <v>169</v>
      </c>
      <c r="B48" s="15" t="s">
        <v>227</v>
      </c>
      <c r="C48" s="13" t="s">
        <v>66</v>
      </c>
      <c r="D48" s="307">
        <f>SUM('[1]ВСРБМР прил №2'!G244,'[1]ВСРБМР прил №2'!G247,'[1]ВСРБМР прил №2'!G252)</f>
        <v>7722695.0156000014</v>
      </c>
      <c r="E48" s="307">
        <f>SUM('[1]ВСРБМР прил №2'!H244,'[1]ВСРБМР прил №2'!H247)</f>
        <v>7722695.0156000014</v>
      </c>
      <c r="F48" s="307">
        <f>SUM('[1]ВСРБМР прил №2'!I244,'[1]ВСРБМР прил №2'!I247)</f>
        <v>7722695.0156000014</v>
      </c>
    </row>
    <row r="49" spans="1:9" x14ac:dyDescent="0.2">
      <c r="A49" s="144" t="s">
        <v>712</v>
      </c>
      <c r="B49" s="15" t="s">
        <v>227</v>
      </c>
      <c r="C49" s="13" t="s">
        <v>71</v>
      </c>
      <c r="D49" s="307">
        <f>SUM('[1]ВСРБМР прил №2'!G254)</f>
        <v>72143560.724999994</v>
      </c>
      <c r="E49" s="307">
        <f>'[1]ВСРБМР прил №2'!H254</f>
        <v>64333132.725000001</v>
      </c>
      <c r="F49" s="307">
        <f>'[1]ВСРБМР прил №2'!I254</f>
        <v>69752209.724999994</v>
      </c>
    </row>
    <row r="50" spans="1:9" x14ac:dyDescent="0.2">
      <c r="A50" s="144" t="s">
        <v>123</v>
      </c>
      <c r="B50" s="15" t="s">
        <v>227</v>
      </c>
      <c r="C50" s="13" t="s">
        <v>74</v>
      </c>
      <c r="D50" s="307">
        <f>'[1]ВСРБМР прил №2'!G279</f>
        <v>2727666.8587199999</v>
      </c>
      <c r="E50" s="307">
        <f>'[1]ВСРБМР прил №2'!H279</f>
        <v>2727666.8587199999</v>
      </c>
      <c r="F50" s="307">
        <f>'[1]ВСРБМР прил №2'!I279</f>
        <v>2727666.8587199999</v>
      </c>
    </row>
    <row r="51" spans="1:9" x14ac:dyDescent="0.2">
      <c r="A51" s="143" t="s">
        <v>38</v>
      </c>
      <c r="B51" s="12" t="s">
        <v>86</v>
      </c>
      <c r="C51" s="293"/>
      <c r="D51" s="306">
        <f>SUM(D52:D53)</f>
        <v>8062251.0285999998</v>
      </c>
      <c r="E51" s="306">
        <f>SUM(E52:E53)</f>
        <v>7147306.8285999997</v>
      </c>
      <c r="F51" s="306">
        <f>SUM(F52:F53)</f>
        <v>7147306.8285999997</v>
      </c>
    </row>
    <row r="52" spans="1:9" x14ac:dyDescent="0.2">
      <c r="A52" s="144" t="s">
        <v>696</v>
      </c>
      <c r="B52" s="15" t="s">
        <v>86</v>
      </c>
      <c r="C52" s="13" t="s">
        <v>66</v>
      </c>
      <c r="D52" s="307">
        <f>'[1]ВСРБМР прил №2'!G289</f>
        <v>2721909</v>
      </c>
      <c r="E52" s="307">
        <f>'[1]ВСРБМР прил №2'!H289</f>
        <v>2256313.88</v>
      </c>
      <c r="F52" s="307">
        <f>'[1]ВСРБМР прил №2'!I289</f>
        <v>2256313.88</v>
      </c>
    </row>
    <row r="53" spans="1:9" x14ac:dyDescent="0.2">
      <c r="A53" s="144" t="s">
        <v>697</v>
      </c>
      <c r="B53" s="15">
        <v>12</v>
      </c>
      <c r="C53" s="13" t="s">
        <v>67</v>
      </c>
      <c r="D53" s="307">
        <f>'[1]ВСРБМР прил №2'!G293</f>
        <v>5340342.0285999998</v>
      </c>
      <c r="E53" s="307">
        <f>'[1]ВСРБМР прил №2'!H293</f>
        <v>4890992.9485999998</v>
      </c>
      <c r="F53" s="307">
        <f>'[1]ВСРБМР прил №2'!I293</f>
        <v>4890992.9485999998</v>
      </c>
    </row>
    <row r="54" spans="1:9" ht="25.5" x14ac:dyDescent="0.2">
      <c r="A54" s="69" t="s">
        <v>160</v>
      </c>
      <c r="B54" s="12">
        <v>13</v>
      </c>
      <c r="C54" s="13"/>
      <c r="D54" s="306">
        <f>D55</f>
        <v>3500</v>
      </c>
      <c r="E54" s="306">
        <f>E55</f>
        <v>0</v>
      </c>
      <c r="F54" s="306">
        <f>F55</f>
        <v>0</v>
      </c>
    </row>
    <row r="55" spans="1:9" x14ac:dyDescent="0.2">
      <c r="A55" s="26" t="s">
        <v>698</v>
      </c>
      <c r="B55" s="15">
        <v>13</v>
      </c>
      <c r="C55" s="13" t="s">
        <v>66</v>
      </c>
      <c r="D55" s="307">
        <f>'[1]ВСРБМР прил №2'!G302</f>
        <v>3500</v>
      </c>
      <c r="E55" s="307">
        <f>'[1]ВСРБМР прил №2'!H302</f>
        <v>0</v>
      </c>
      <c r="F55" s="307">
        <f>'[1]ВСРБМР прил №2'!I302</f>
        <v>0</v>
      </c>
    </row>
    <row r="56" spans="1:9" ht="38.25" x14ac:dyDescent="0.2">
      <c r="A56" s="143" t="s">
        <v>10</v>
      </c>
      <c r="B56" s="12" t="s">
        <v>187</v>
      </c>
      <c r="C56" s="293"/>
      <c r="D56" s="306">
        <f>SUM(D57:D59)</f>
        <v>115348999.99999996</v>
      </c>
      <c r="E56" s="306">
        <f>SUM(E57:E59)</f>
        <v>84943000</v>
      </c>
      <c r="F56" s="306">
        <f>SUM(F57:F59)</f>
        <v>84943000</v>
      </c>
    </row>
    <row r="57" spans="1:9" ht="25.5" x14ac:dyDescent="0.2">
      <c r="A57" s="144" t="s">
        <v>11</v>
      </c>
      <c r="B57" s="15" t="s">
        <v>187</v>
      </c>
      <c r="C57" s="13" t="s">
        <v>66</v>
      </c>
      <c r="D57" s="307">
        <f>'[1]ВСРБМР прил №2'!G304</f>
        <v>115348999.99999996</v>
      </c>
      <c r="E57" s="307">
        <f>'[1]ВСРБМР прил №2'!H304</f>
        <v>84943000</v>
      </c>
      <c r="F57" s="307">
        <f>'[1]ВСРБМР прил №2'!I304</f>
        <v>84943000</v>
      </c>
    </row>
    <row r="58" spans="1:9" hidden="1" x14ac:dyDescent="0.2">
      <c r="A58" s="144" t="s">
        <v>699</v>
      </c>
      <c r="B58" s="15">
        <v>14</v>
      </c>
      <c r="C58" s="13" t="s">
        <v>67</v>
      </c>
      <c r="D58" s="307">
        <f>'[1]ВСРБМР прил №2'!G306</f>
        <v>0</v>
      </c>
      <c r="E58" s="307">
        <f>'[1]ВСРБМР прил №2'!H306</f>
        <v>0</v>
      </c>
      <c r="F58" s="307">
        <f>'[1]ВСРБМР прил №2'!I306</f>
        <v>0</v>
      </c>
    </row>
    <row r="59" spans="1:9" hidden="1" x14ac:dyDescent="0.2">
      <c r="A59" s="144" t="s">
        <v>1</v>
      </c>
      <c r="B59" s="14" t="s">
        <v>187</v>
      </c>
      <c r="C59" s="13" t="s">
        <v>71</v>
      </c>
      <c r="D59" s="307">
        <f>SUM('[1]ВСРБМР прил №2'!G308,'[1]ВСРБМР прил №2'!G310)</f>
        <v>0</v>
      </c>
      <c r="E59" s="307">
        <f>SUM('[1]ВСРБМР прил №2'!H308,'[1]ВСРБМР прил №2'!H310)</f>
        <v>0</v>
      </c>
      <c r="F59" s="307">
        <f>SUM('[1]ВСРБМР прил №2'!I308,'[1]ВСРБМР прил №2'!I310)</f>
        <v>0</v>
      </c>
    </row>
    <row r="60" spans="1:9" x14ac:dyDescent="0.2">
      <c r="A60" s="381" t="s">
        <v>43</v>
      </c>
      <c r="B60" s="382"/>
      <c r="C60" s="383"/>
      <c r="D60" s="306">
        <f>SUM(D11,D19,D21,D24,D28,D34,D40,D42,D47,D51,D54,D56)</f>
        <v>1372594448.4106033</v>
      </c>
      <c r="E60" s="306">
        <f>SUM(E11,E19,E21,E24,E28,E34,E40,E42,E47,E51,E54,E56)</f>
        <v>1278162487.0941939</v>
      </c>
      <c r="F60" s="306">
        <f>SUM(F11,F19,F21,F24,F28,F34,F40,F42,F47,F51,F54,F56)</f>
        <v>1332416521.6041939</v>
      </c>
      <c r="I60" t="s">
        <v>33</v>
      </c>
    </row>
    <row r="62" spans="1:9" x14ac:dyDescent="0.2">
      <c r="D62" s="57">
        <f>'[1]ВСРБМР прил №2'!G312-'[1]РазПодр прил №3 '!D60</f>
        <v>0</v>
      </c>
    </row>
  </sheetData>
  <mergeCells count="7">
    <mergeCell ref="A60:C60"/>
    <mergeCell ref="A7:F7"/>
    <mergeCell ref="A1:F1"/>
    <mergeCell ref="A2:F2"/>
    <mergeCell ref="A3:F3"/>
    <mergeCell ref="A5:F5"/>
    <mergeCell ref="A6:F6"/>
  </mergeCells>
  <phoneticPr fontId="0" type="noConversion"/>
  <pageMargins left="1.3385826771653544" right="0.74803149606299213" top="0.27559055118110237" bottom="0.15748031496062992" header="0.23622047244094491" footer="0.15748031496062992"/>
  <pageSetup paperSize="9" scale="70" orientation="portrait" r:id="rId1"/>
  <headerFooter alignWithMargins="0"/>
  <rowBreaks count="1" manualBreakCount="1">
    <brk id="6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D40"/>
  <sheetViews>
    <sheetView view="pageBreakPreview" zoomScaleNormal="100" zoomScaleSheetLayoutView="100" workbookViewId="0">
      <selection sqref="A1:XFD1048576"/>
    </sheetView>
  </sheetViews>
  <sheetFormatPr defaultRowHeight="12.75" x14ac:dyDescent="0.2"/>
  <cols>
    <col min="1" max="1" width="71.42578125" customWidth="1"/>
    <col min="2" max="2" width="14.5703125" customWidth="1"/>
    <col min="3" max="3" width="15" customWidth="1"/>
    <col min="4" max="4" width="14.28515625" customWidth="1"/>
  </cols>
  <sheetData>
    <row r="1" spans="1:4" ht="15" x14ac:dyDescent="0.2">
      <c r="A1" s="390" t="s">
        <v>815</v>
      </c>
      <c r="B1" s="390"/>
      <c r="C1" s="390"/>
      <c r="D1" s="390"/>
    </row>
    <row r="2" spans="1:4" ht="15" x14ac:dyDescent="0.2">
      <c r="A2" s="390" t="s">
        <v>816</v>
      </c>
      <c r="B2" s="390"/>
      <c r="C2" s="390"/>
      <c r="D2" s="391"/>
    </row>
    <row r="3" spans="1:4" ht="15" x14ac:dyDescent="0.2">
      <c r="A3" s="390" t="s">
        <v>866</v>
      </c>
      <c r="B3" s="390"/>
      <c r="C3" s="390"/>
      <c r="D3" s="391"/>
    </row>
    <row r="4" spans="1:4" ht="15.75" x14ac:dyDescent="0.25">
      <c r="A4" s="370" t="s">
        <v>108</v>
      </c>
      <c r="B4" s="370"/>
      <c r="C4" s="370"/>
      <c r="D4" s="384"/>
    </row>
    <row r="5" spans="1:4" ht="15.75" x14ac:dyDescent="0.25">
      <c r="A5" s="370" t="s">
        <v>116</v>
      </c>
      <c r="B5" s="370"/>
      <c r="C5" s="370"/>
      <c r="D5" s="384"/>
    </row>
    <row r="6" spans="1:4" ht="15.75" x14ac:dyDescent="0.25">
      <c r="A6" s="370" t="s">
        <v>817</v>
      </c>
      <c r="B6" s="370"/>
      <c r="C6" s="370"/>
      <c r="D6" s="384"/>
    </row>
    <row r="7" spans="1:4" ht="15.75" x14ac:dyDescent="0.25">
      <c r="A7" s="385" t="s">
        <v>15</v>
      </c>
      <c r="B7" s="385"/>
      <c r="C7" s="385"/>
      <c r="D7" s="386"/>
    </row>
    <row r="8" spans="1:4" ht="13.7" customHeight="1" x14ac:dyDescent="0.25">
      <c r="A8" s="387" t="s">
        <v>58</v>
      </c>
      <c r="B8" s="389" t="s">
        <v>322</v>
      </c>
      <c r="C8" s="389"/>
      <c r="D8" s="389"/>
    </row>
    <row r="9" spans="1:4" s="21" customFormat="1" ht="15.75" x14ac:dyDescent="0.25">
      <c r="A9" s="388"/>
      <c r="B9" s="107" t="s">
        <v>460</v>
      </c>
      <c r="C9" s="107" t="s">
        <v>608</v>
      </c>
      <c r="D9" s="107" t="s">
        <v>818</v>
      </c>
    </row>
    <row r="10" spans="1:4" ht="15" x14ac:dyDescent="0.25">
      <c r="A10" s="108">
        <v>1</v>
      </c>
      <c r="B10" s="109">
        <v>2</v>
      </c>
      <c r="C10" s="108">
        <v>3</v>
      </c>
      <c r="D10" s="109">
        <v>4</v>
      </c>
    </row>
    <row r="11" spans="1:4" ht="31.5" x14ac:dyDescent="0.25">
      <c r="A11" s="89" t="s">
        <v>88</v>
      </c>
      <c r="B11" s="284">
        <f>SUM(B12,B14,B23,B39)</f>
        <v>1194022.42291</v>
      </c>
      <c r="C11" s="284">
        <f>SUM(C12,C14,C23,C39)</f>
        <v>1113121.28712</v>
      </c>
      <c r="D11" s="284">
        <f>SUM(D12,D14,D23,D39)</f>
        <v>1165879.6211299999</v>
      </c>
    </row>
    <row r="12" spans="1:4" ht="31.5" x14ac:dyDescent="0.25">
      <c r="A12" s="89" t="s">
        <v>104</v>
      </c>
      <c r="B12" s="285">
        <f>SUM(B13:B13)</f>
        <v>258700</v>
      </c>
      <c r="C12" s="285">
        <f>SUM(C13:C13)</f>
        <v>195062</v>
      </c>
      <c r="D12" s="285">
        <f>SUM(D13:D13)</f>
        <v>195062</v>
      </c>
    </row>
    <row r="13" spans="1:4" ht="47.25" x14ac:dyDescent="0.25">
      <c r="A13" s="90" t="s">
        <v>205</v>
      </c>
      <c r="B13" s="286">
        <f>'[1]Доходы прил №1'!E30</f>
        <v>258700</v>
      </c>
      <c r="C13" s="286">
        <f>'[1]Доходы прил №1'!F30</f>
        <v>195062</v>
      </c>
      <c r="D13" s="286">
        <f>'[1]Доходы прил №1'!G30</f>
        <v>195062</v>
      </c>
    </row>
    <row r="14" spans="1:4" ht="31.5" x14ac:dyDescent="0.25">
      <c r="A14" s="89" t="s">
        <v>105</v>
      </c>
      <c r="B14" s="285">
        <f>SUM(B15:B22)</f>
        <v>68297.669909999997</v>
      </c>
      <c r="C14" s="285">
        <f>SUM(C15:C22)</f>
        <v>80874.024119999987</v>
      </c>
      <c r="D14" s="285">
        <f>SUM(D15:D22)</f>
        <v>132711.03612999999</v>
      </c>
    </row>
    <row r="15" spans="1:4" ht="31.5" x14ac:dyDescent="0.25">
      <c r="A15" s="282" t="s">
        <v>361</v>
      </c>
      <c r="B15" s="286">
        <f>'[1]Доходы прил №1'!E36</f>
        <v>20913.09</v>
      </c>
      <c r="C15" s="286">
        <f>'[1]Доходы прил №1'!F36</f>
        <v>0</v>
      </c>
      <c r="D15" s="286">
        <f>'[1]Доходы прил №1'!G36</f>
        <v>0</v>
      </c>
    </row>
    <row r="16" spans="1:4" ht="15.75" x14ac:dyDescent="0.25">
      <c r="A16" s="113" t="s">
        <v>630</v>
      </c>
      <c r="B16" s="287">
        <f>'[1]Доходы прил №1'!E37</f>
        <v>32232.863280000001</v>
      </c>
      <c r="C16" s="287">
        <f>'[1]Доходы прил №1'!F37</f>
        <v>32232.863280000001</v>
      </c>
      <c r="D16" s="287">
        <f>'[1]Доходы прил №1'!G37</f>
        <v>32232.863280000001</v>
      </c>
    </row>
    <row r="17" spans="1:4" ht="63" x14ac:dyDescent="0.25">
      <c r="A17" s="113" t="s">
        <v>631</v>
      </c>
      <c r="B17" s="287">
        <f>'[1]Доходы прил №1'!E38</f>
        <v>953.80380000000002</v>
      </c>
      <c r="C17" s="287">
        <f>'[1]Доходы прил №1'!F38</f>
        <v>953.80380000000002</v>
      </c>
      <c r="D17" s="287">
        <f>'[1]Доходы прил №1'!G38</f>
        <v>953.80380000000002</v>
      </c>
    </row>
    <row r="18" spans="1:4" ht="15.75" x14ac:dyDescent="0.25">
      <c r="A18" s="113" t="s">
        <v>716</v>
      </c>
      <c r="B18" s="287">
        <f>'[1]Доходы прил №1'!E40</f>
        <v>0</v>
      </c>
      <c r="C18" s="287">
        <f>'[1]Доходы прил №1'!F40</f>
        <v>21771.052629999998</v>
      </c>
      <c r="D18" s="287">
        <f>'[1]Доходы прил №1'!G40</f>
        <v>80272.842109999998</v>
      </c>
    </row>
    <row r="19" spans="1:4" ht="15.75" x14ac:dyDescent="0.25">
      <c r="A19" s="113" t="s">
        <v>748</v>
      </c>
      <c r="B19" s="287">
        <f>'[1]Доходы прил №1'!E39</f>
        <v>13941.075999999999</v>
      </c>
      <c r="C19" s="287">
        <f>'[1]Доходы прил №1'!F39</f>
        <v>18659.13</v>
      </c>
      <c r="D19" s="287">
        <f>'[1]Доходы прил №1'!G39</f>
        <v>18987.477999999999</v>
      </c>
    </row>
    <row r="20" spans="1:4" ht="31.5" x14ac:dyDescent="0.25">
      <c r="A20" s="88" t="s">
        <v>717</v>
      </c>
      <c r="B20" s="287">
        <f>'[1]Доходы прил №1'!E41</f>
        <v>204.42083</v>
      </c>
      <c r="C20" s="287">
        <f>'[1]Доходы прил №1'!F41</f>
        <v>204.75841</v>
      </c>
      <c r="D20" s="287">
        <f>'[1]Доходы прил №1'!G41</f>
        <v>211.63293999999999</v>
      </c>
    </row>
    <row r="21" spans="1:4" ht="38.25" x14ac:dyDescent="0.25">
      <c r="A21" s="82" t="s">
        <v>783</v>
      </c>
      <c r="B21" s="287">
        <f>'[1]Доходы прил №1'!E42</f>
        <v>0</v>
      </c>
      <c r="C21" s="287">
        <f>'[1]Доходы прил №1'!F42</f>
        <v>7000</v>
      </c>
      <c r="D21" s="287">
        <f>'[1]Доходы прил №1'!G42</f>
        <v>0</v>
      </c>
    </row>
    <row r="22" spans="1:4" ht="15.75" x14ac:dyDescent="0.25">
      <c r="A22" s="113" t="s">
        <v>632</v>
      </c>
      <c r="B22" s="287">
        <f>'[1]Доходы прил №1'!E43</f>
        <v>52.415999999999997</v>
      </c>
      <c r="C22" s="287">
        <f>'[1]Доходы прил №1'!F43</f>
        <v>52.415999999999997</v>
      </c>
      <c r="D22" s="287">
        <f>'[1]Доходы прил №1'!G43</f>
        <v>52.415999999999997</v>
      </c>
    </row>
    <row r="23" spans="1:4" ht="31.5" x14ac:dyDescent="0.25">
      <c r="A23" s="89" t="s">
        <v>214</v>
      </c>
      <c r="B23" s="285">
        <f>SUM(B24:B38)</f>
        <v>867024.75300000003</v>
      </c>
      <c r="C23" s="285">
        <f>SUM(C24:C38)</f>
        <v>837185.26300000004</v>
      </c>
      <c r="D23" s="285">
        <f>SUM(D24:D38)</f>
        <v>838106.58499999996</v>
      </c>
    </row>
    <row r="24" spans="1:4" ht="63" x14ac:dyDescent="0.25">
      <c r="A24" s="91" t="s">
        <v>311</v>
      </c>
      <c r="B24" s="286">
        <f>'[1]Доходы прил №1'!E46</f>
        <v>547571</v>
      </c>
      <c r="C24" s="286">
        <f>'[1]Доходы прил №1'!F46</f>
        <v>547571</v>
      </c>
      <c r="D24" s="286">
        <f>'[1]Доходы прил №1'!G46</f>
        <v>547571</v>
      </c>
    </row>
    <row r="25" spans="1:4" ht="47.25" x14ac:dyDescent="0.25">
      <c r="A25" s="91" t="s">
        <v>308</v>
      </c>
      <c r="B25" s="286">
        <f>'[1]Доходы прил №1'!E47</f>
        <v>155553</v>
      </c>
      <c r="C25" s="286">
        <f>'[1]Доходы прил №1'!F47</f>
        <v>155553</v>
      </c>
      <c r="D25" s="286">
        <f>'[1]Доходы прил №1'!G47</f>
        <v>155553</v>
      </c>
    </row>
    <row r="26" spans="1:4" ht="47.25" x14ac:dyDescent="0.25">
      <c r="A26" s="88" t="s">
        <v>447</v>
      </c>
      <c r="B26" s="287">
        <f>'[1]Доходы прил №1'!E53</f>
        <v>34445.69</v>
      </c>
      <c r="C26" s="287">
        <f>'[1]Доходы прил №1'!F53</f>
        <v>34445.69</v>
      </c>
      <c r="D26" s="287">
        <f>'[1]Доходы прил №1'!G53</f>
        <v>34445.69</v>
      </c>
    </row>
    <row r="27" spans="1:4" ht="47.25" x14ac:dyDescent="0.25">
      <c r="A27" s="259" t="s">
        <v>715</v>
      </c>
      <c r="B27" s="287">
        <f>'[1]Доходы прил №1'!E54</f>
        <v>1879.2729999999999</v>
      </c>
      <c r="C27" s="287">
        <f>'[1]Доходы прил №1'!F54</f>
        <v>1879.2729999999999</v>
      </c>
      <c r="D27" s="287">
        <f>'[1]Доходы прил №1'!G54</f>
        <v>2189.165</v>
      </c>
    </row>
    <row r="28" spans="1:4" ht="63" x14ac:dyDescent="0.25">
      <c r="A28" s="93" t="s">
        <v>20</v>
      </c>
      <c r="B28" s="288">
        <f>'[1]Доходы прил №1'!E56</f>
        <v>4603.3999999999996</v>
      </c>
      <c r="C28" s="288">
        <f>'[1]Доходы прил №1'!F56</f>
        <v>5076.3999999999996</v>
      </c>
      <c r="D28" s="288">
        <f>'[1]Доходы прил №1'!G56</f>
        <v>5560.6</v>
      </c>
    </row>
    <row r="29" spans="1:4" ht="47.25" x14ac:dyDescent="0.25">
      <c r="A29" s="92" t="s">
        <v>3</v>
      </c>
      <c r="B29" s="287">
        <f>'[1]Доходы прил №1'!E58</f>
        <v>787</v>
      </c>
      <c r="C29" s="287">
        <f>'[1]Доходы прил №1'!F58</f>
        <v>787</v>
      </c>
      <c r="D29" s="287">
        <f>'[1]Доходы прил №1'!G58</f>
        <v>787</v>
      </c>
    </row>
    <row r="30" spans="1:4" ht="47.25" x14ac:dyDescent="0.25">
      <c r="A30" s="92" t="s">
        <v>212</v>
      </c>
      <c r="B30" s="287">
        <f>'[1]Доходы прил №1'!E57</f>
        <v>393</v>
      </c>
      <c r="C30" s="287">
        <f>'[1]Доходы прил №1'!F57</f>
        <v>393</v>
      </c>
      <c r="D30" s="287">
        <f>'[1]Доходы прил №1'!G57</f>
        <v>393</v>
      </c>
    </row>
    <row r="31" spans="1:4" ht="51" customHeight="1" x14ac:dyDescent="0.25">
      <c r="A31" s="92" t="s">
        <v>309</v>
      </c>
      <c r="B31" s="287">
        <f>'[1]Доходы прил №1'!E59</f>
        <v>787</v>
      </c>
      <c r="C31" s="287">
        <f>'[1]Доходы прил №1'!F59</f>
        <v>787</v>
      </c>
      <c r="D31" s="287">
        <f>'[1]Доходы прил №1'!G59</f>
        <v>787</v>
      </c>
    </row>
    <row r="32" spans="1:4" ht="47.25" x14ac:dyDescent="0.25">
      <c r="A32" s="92" t="s">
        <v>310</v>
      </c>
      <c r="B32" s="287">
        <f>'[1]Доходы прил №1'!E52</f>
        <v>66.099999999999994</v>
      </c>
      <c r="C32" s="287">
        <f>'[1]Доходы прил №1'!F52</f>
        <v>66.099999999999994</v>
      </c>
      <c r="D32" s="287">
        <f>'[1]Доходы прил №1'!G52</f>
        <v>66.099999999999994</v>
      </c>
    </row>
    <row r="33" spans="1:4" ht="47.25" x14ac:dyDescent="0.25">
      <c r="A33" s="90" t="s">
        <v>21</v>
      </c>
      <c r="B33" s="287">
        <f>'[1]Доходы прил №1'!E55</f>
        <v>115349</v>
      </c>
      <c r="C33" s="287">
        <f>'[1]Доходы прил №1'!F55</f>
        <v>84943</v>
      </c>
      <c r="D33" s="287">
        <f>'[1]Доходы прил №1'!G55</f>
        <v>84943</v>
      </c>
    </row>
    <row r="34" spans="1:4" s="114" customFormat="1" ht="63" x14ac:dyDescent="0.25">
      <c r="A34" s="117" t="s">
        <v>207</v>
      </c>
      <c r="B34" s="287">
        <f>'[1]Доходы прил №1'!E49</f>
        <v>1830</v>
      </c>
      <c r="C34" s="287">
        <f>'[1]Доходы прил №1'!F49</f>
        <v>1830</v>
      </c>
      <c r="D34" s="287">
        <f>'[1]Доходы прил №1'!G49</f>
        <v>1830</v>
      </c>
    </row>
    <row r="35" spans="1:4" s="114" customFormat="1" ht="47.25" x14ac:dyDescent="0.25">
      <c r="A35" s="118" t="s">
        <v>291</v>
      </c>
      <c r="B35" s="287">
        <f>'[1]Доходы прил №1'!E50</f>
        <v>1505.4</v>
      </c>
      <c r="C35" s="287">
        <f>'[1]Доходы прил №1'!F50</f>
        <v>1505.4</v>
      </c>
      <c r="D35" s="287">
        <f>'[1]Доходы прил №1'!G50</f>
        <v>1505.4</v>
      </c>
    </row>
    <row r="36" spans="1:4" s="114" customFormat="1" ht="31.5" x14ac:dyDescent="0.25">
      <c r="A36" s="118" t="s">
        <v>292</v>
      </c>
      <c r="B36" s="287">
        <f>'[1]Доходы прил №1'!E48</f>
        <v>2051</v>
      </c>
      <c r="C36" s="287">
        <f>'[1]Доходы прил №1'!F48</f>
        <v>2123</v>
      </c>
      <c r="D36" s="287">
        <f>'[1]Доходы прил №1'!G48</f>
        <v>2207</v>
      </c>
    </row>
    <row r="37" spans="1:4" s="114" customFormat="1" ht="31.5" x14ac:dyDescent="0.25">
      <c r="A37" s="88" t="s">
        <v>629</v>
      </c>
      <c r="B37" s="287">
        <f>'[1]Доходы прил №1'!E51</f>
        <v>200</v>
      </c>
      <c r="C37" s="287">
        <f>'[1]Доходы прил №1'!F51</f>
        <v>200</v>
      </c>
      <c r="D37" s="287">
        <f>'[1]Доходы прил №1'!G51</f>
        <v>200</v>
      </c>
    </row>
    <row r="38" spans="1:4" ht="47.25" x14ac:dyDescent="0.25">
      <c r="A38" s="88" t="s">
        <v>247</v>
      </c>
      <c r="B38" s="288">
        <f>'[1]Доходы прил №1'!E60</f>
        <v>3.89</v>
      </c>
      <c r="C38" s="288">
        <f>'[1]Доходы прил №1'!F60</f>
        <v>25.4</v>
      </c>
      <c r="D38" s="288">
        <f>'[1]Доходы прил №1'!G60</f>
        <v>68.63</v>
      </c>
    </row>
    <row r="39" spans="1:4" s="114" customFormat="1" ht="15.75" x14ac:dyDescent="0.25">
      <c r="A39" s="115" t="s">
        <v>110</v>
      </c>
      <c r="B39" s="289">
        <f>B40</f>
        <v>0</v>
      </c>
      <c r="C39" s="289">
        <f>C40</f>
        <v>0</v>
      </c>
      <c r="D39" s="289">
        <f>D40</f>
        <v>0</v>
      </c>
    </row>
    <row r="40" spans="1:4" s="114" customFormat="1" ht="15" x14ac:dyDescent="0.2">
      <c r="A40" s="116"/>
      <c r="B40" s="290">
        <f>'[1]Доходы прил №1'!E62</f>
        <v>0</v>
      </c>
      <c r="C40" s="290"/>
      <c r="D40" s="290"/>
    </row>
  </sheetData>
  <mergeCells count="9">
    <mergeCell ref="A6:D6"/>
    <mergeCell ref="A7:D7"/>
    <mergeCell ref="A8:A9"/>
    <mergeCell ref="B8:D8"/>
    <mergeCell ref="A1:D1"/>
    <mergeCell ref="A2:D2"/>
    <mergeCell ref="A3:D3"/>
    <mergeCell ref="A4:D4"/>
    <mergeCell ref="A5:D5"/>
  </mergeCells>
  <phoneticPr fontId="0" type="noConversion"/>
  <pageMargins left="0.78740157480314965" right="0.74803149606299213" top="0.27559055118110237" bottom="0.15748031496062992" header="0.23622047244094491" footer="0.15748031496062992"/>
  <pageSetup paperSize="9" scale="76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J292"/>
  <sheetViews>
    <sheetView view="pageBreakPreview" zoomScale="60" zoomScaleNormal="100" workbookViewId="0">
      <selection activeCell="W48" sqref="W48"/>
    </sheetView>
  </sheetViews>
  <sheetFormatPr defaultColWidth="8.7109375" defaultRowHeight="12.75" x14ac:dyDescent="0.2"/>
  <cols>
    <col min="1" max="1" width="3.85546875" style="21" customWidth="1"/>
    <col min="2" max="2" width="35.85546875" style="21" customWidth="1"/>
    <col min="3" max="3" width="8.28515625" style="21" customWidth="1"/>
    <col min="4" max="4" width="9.140625" style="21" customWidth="1"/>
    <col min="5" max="5" width="11" style="21" customWidth="1"/>
    <col min="6" max="6" width="7.5703125" style="21" customWidth="1"/>
    <col min="7" max="7" width="7.85546875" style="21" customWidth="1"/>
    <col min="8" max="8" width="11.5703125" style="21" customWidth="1"/>
    <col min="9" max="16384" width="8.7109375" style="21"/>
  </cols>
  <sheetData>
    <row r="1" spans="1:10" x14ac:dyDescent="0.2">
      <c r="B1" s="403" t="s">
        <v>620</v>
      </c>
      <c r="C1" s="403"/>
      <c r="D1" s="403"/>
      <c r="E1" s="403"/>
      <c r="F1" s="403"/>
      <c r="G1" s="403"/>
      <c r="H1" s="403"/>
      <c r="I1" s="403"/>
      <c r="J1" s="403"/>
    </row>
    <row r="2" spans="1:10" x14ac:dyDescent="0.2">
      <c r="A2" s="404" t="s">
        <v>81</v>
      </c>
      <c r="B2" s="404"/>
      <c r="C2" s="404"/>
      <c r="D2" s="404"/>
      <c r="E2" s="404"/>
      <c r="F2" s="404"/>
      <c r="G2" s="404"/>
      <c r="H2" s="404"/>
      <c r="I2" s="404"/>
      <c r="J2" s="404"/>
    </row>
    <row r="3" spans="1:10" x14ac:dyDescent="0.2">
      <c r="A3" s="404" t="s">
        <v>867</v>
      </c>
      <c r="B3" s="404"/>
      <c r="C3" s="404"/>
      <c r="D3" s="404"/>
      <c r="E3" s="404"/>
      <c r="F3" s="404"/>
      <c r="G3" s="404"/>
      <c r="H3" s="404"/>
      <c r="I3" s="404"/>
      <c r="J3" s="404"/>
    </row>
    <row r="4" spans="1:10" ht="10.7" customHeight="1" x14ac:dyDescent="0.2"/>
    <row r="5" spans="1:10" ht="14.25" x14ac:dyDescent="0.2">
      <c r="A5" s="402" t="s">
        <v>365</v>
      </c>
      <c r="B5" s="402"/>
      <c r="C5" s="402"/>
      <c r="D5" s="402"/>
      <c r="E5" s="402"/>
      <c r="F5" s="402"/>
      <c r="G5" s="402"/>
      <c r="H5" s="402"/>
    </row>
    <row r="6" spans="1:10" ht="14.25" x14ac:dyDescent="0.2">
      <c r="A6" s="402" t="s">
        <v>366</v>
      </c>
      <c r="B6" s="402"/>
      <c r="C6" s="402"/>
      <c r="D6" s="402"/>
      <c r="E6" s="402"/>
      <c r="F6" s="402"/>
      <c r="G6" s="402"/>
      <c r="H6" s="402"/>
    </row>
    <row r="7" spans="1:10" ht="14.25" x14ac:dyDescent="0.2">
      <c r="A7" s="402" t="s">
        <v>367</v>
      </c>
      <c r="B7" s="402"/>
      <c r="C7" s="402"/>
      <c r="D7" s="402"/>
      <c r="E7" s="402"/>
      <c r="F7" s="402"/>
      <c r="G7" s="402"/>
      <c r="H7" s="402"/>
    </row>
    <row r="8" spans="1:10" ht="14.25" x14ac:dyDescent="0.2">
      <c r="A8" s="401" t="s">
        <v>469</v>
      </c>
      <c r="B8" s="401"/>
      <c r="C8" s="401"/>
      <c r="D8" s="401"/>
      <c r="E8" s="401"/>
      <c r="F8" s="401"/>
      <c r="G8" s="401"/>
      <c r="H8" s="401"/>
    </row>
    <row r="9" spans="1:10" ht="14.25" x14ac:dyDescent="0.2">
      <c r="A9" s="310"/>
      <c r="B9" s="310"/>
      <c r="C9" s="310"/>
      <c r="D9" s="310"/>
      <c r="E9" s="310"/>
      <c r="F9" s="310"/>
      <c r="G9" s="310"/>
      <c r="H9" s="310"/>
    </row>
    <row r="12" spans="1:10" x14ac:dyDescent="0.2">
      <c r="A12" s="392" t="s">
        <v>500</v>
      </c>
      <c r="B12" s="392"/>
      <c r="C12" s="392"/>
      <c r="D12" s="392"/>
      <c r="E12" s="392"/>
      <c r="F12" s="392"/>
      <c r="G12" s="392"/>
      <c r="H12" s="392"/>
      <c r="I12" s="392"/>
      <c r="J12" s="392"/>
    </row>
    <row r="13" spans="1:10" x14ac:dyDescent="0.2">
      <c r="A13" s="392" t="s">
        <v>501</v>
      </c>
      <c r="B13" s="392"/>
      <c r="C13" s="392"/>
      <c r="D13" s="392"/>
      <c r="E13" s="392"/>
      <c r="F13" s="392"/>
      <c r="G13" s="392"/>
      <c r="H13" s="392"/>
      <c r="I13" s="392"/>
      <c r="J13" s="392"/>
    </row>
    <row r="14" spans="1:10" x14ac:dyDescent="0.2">
      <c r="A14" s="392" t="s">
        <v>518</v>
      </c>
      <c r="B14" s="392"/>
      <c r="C14" s="392"/>
      <c r="D14" s="392"/>
      <c r="E14" s="392"/>
      <c r="F14" s="392"/>
      <c r="G14" s="392"/>
      <c r="H14" s="392"/>
      <c r="I14" s="392"/>
      <c r="J14" s="392"/>
    </row>
    <row r="15" spans="1:10" x14ac:dyDescent="0.2">
      <c r="A15" s="392"/>
      <c r="B15" s="392"/>
      <c r="C15" s="392"/>
      <c r="D15" s="392"/>
      <c r="E15" s="392"/>
      <c r="F15" s="392"/>
      <c r="G15" s="392"/>
      <c r="H15" s="392"/>
      <c r="I15" s="392"/>
      <c r="J15" s="392"/>
    </row>
    <row r="16" spans="1:10" ht="12.75" customHeight="1" x14ac:dyDescent="0.2">
      <c r="A16" s="395"/>
      <c r="B16" s="396" t="s">
        <v>28</v>
      </c>
      <c r="C16" s="396" t="s">
        <v>371</v>
      </c>
      <c r="D16" s="396" t="s">
        <v>368</v>
      </c>
      <c r="E16" s="396" t="s">
        <v>82</v>
      </c>
      <c r="F16" s="396" t="s">
        <v>369</v>
      </c>
      <c r="G16" s="396" t="s">
        <v>370</v>
      </c>
      <c r="H16" s="398" t="s">
        <v>96</v>
      </c>
      <c r="I16" s="399"/>
      <c r="J16" s="400"/>
    </row>
    <row r="17" spans="1:10" x14ac:dyDescent="0.2">
      <c r="A17" s="395"/>
      <c r="B17" s="397"/>
      <c r="C17" s="397"/>
      <c r="D17" s="397"/>
      <c r="E17" s="397"/>
      <c r="F17" s="397"/>
      <c r="G17" s="397"/>
      <c r="H17" s="184" t="s">
        <v>497</v>
      </c>
      <c r="I17" s="309" t="s">
        <v>452</v>
      </c>
      <c r="J17" s="309" t="s">
        <v>473</v>
      </c>
    </row>
    <row r="18" spans="1:10" x14ac:dyDescent="0.2">
      <c r="B18" s="45" t="s">
        <v>502</v>
      </c>
      <c r="C18" s="312">
        <v>400</v>
      </c>
      <c r="D18" s="81" t="s">
        <v>221</v>
      </c>
      <c r="E18" s="81" t="s">
        <v>376</v>
      </c>
      <c r="F18" s="65">
        <v>244</v>
      </c>
      <c r="G18" s="65">
        <v>228</v>
      </c>
      <c r="H18" s="43">
        <v>25000</v>
      </c>
      <c r="I18" s="65">
        <v>0</v>
      </c>
      <c r="J18" s="65">
        <v>0</v>
      </c>
    </row>
    <row r="19" spans="1:10" x14ac:dyDescent="0.2">
      <c r="B19" s="45" t="s">
        <v>503</v>
      </c>
      <c r="C19" s="312">
        <v>400</v>
      </c>
      <c r="D19" s="81" t="s">
        <v>221</v>
      </c>
      <c r="E19" s="81" t="s">
        <v>376</v>
      </c>
      <c r="F19" s="65">
        <v>244</v>
      </c>
      <c r="G19" s="65">
        <v>228</v>
      </c>
      <c r="H19" s="43">
        <v>25000</v>
      </c>
      <c r="I19" s="65">
        <v>0</v>
      </c>
      <c r="J19" s="65">
        <v>0</v>
      </c>
    </row>
    <row r="20" spans="1:10" x14ac:dyDescent="0.2">
      <c r="B20" s="45" t="s">
        <v>504</v>
      </c>
      <c r="C20" s="312">
        <v>400</v>
      </c>
      <c r="D20" s="81" t="s">
        <v>221</v>
      </c>
      <c r="E20" s="81" t="s">
        <v>376</v>
      </c>
      <c r="F20" s="65">
        <v>244</v>
      </c>
      <c r="G20" s="65">
        <v>228</v>
      </c>
      <c r="H20" s="43">
        <v>25000</v>
      </c>
      <c r="I20" s="65">
        <v>0</v>
      </c>
      <c r="J20" s="65">
        <v>0</v>
      </c>
    </row>
    <row r="21" spans="1:10" x14ac:dyDescent="0.2">
      <c r="B21" s="45" t="s">
        <v>505</v>
      </c>
      <c r="C21" s="312">
        <v>400</v>
      </c>
      <c r="D21" s="81" t="s">
        <v>221</v>
      </c>
      <c r="E21" s="81" t="s">
        <v>376</v>
      </c>
      <c r="F21" s="65">
        <v>244</v>
      </c>
      <c r="G21" s="65">
        <v>228</v>
      </c>
      <c r="H21" s="43">
        <v>25000</v>
      </c>
      <c r="I21" s="65">
        <v>0</v>
      </c>
      <c r="J21" s="65">
        <v>0</v>
      </c>
    </row>
    <row r="22" spans="1:10" x14ac:dyDescent="0.2">
      <c r="B22" s="45" t="s">
        <v>506</v>
      </c>
      <c r="C22" s="312">
        <v>400</v>
      </c>
      <c r="D22" s="81" t="s">
        <v>221</v>
      </c>
      <c r="E22" s="81" t="s">
        <v>376</v>
      </c>
      <c r="F22" s="65">
        <v>244</v>
      </c>
      <c r="G22" s="65">
        <v>228</v>
      </c>
      <c r="H22" s="43">
        <v>25000</v>
      </c>
      <c r="I22" s="65">
        <v>0</v>
      </c>
      <c r="J22" s="65">
        <v>0</v>
      </c>
    </row>
    <row r="23" spans="1:10" x14ac:dyDescent="0.2">
      <c r="B23" s="45" t="s">
        <v>507</v>
      </c>
      <c r="C23" s="312">
        <v>400</v>
      </c>
      <c r="D23" s="81" t="s">
        <v>221</v>
      </c>
      <c r="E23" s="81" t="s">
        <v>376</v>
      </c>
      <c r="F23" s="65">
        <v>244</v>
      </c>
      <c r="G23" s="65">
        <v>228</v>
      </c>
      <c r="H23" s="43">
        <v>25000</v>
      </c>
      <c r="I23" s="65">
        <v>0</v>
      </c>
      <c r="J23" s="65">
        <v>0</v>
      </c>
    </row>
    <row r="24" spans="1:10" x14ac:dyDescent="0.2">
      <c r="B24" s="45" t="s">
        <v>508</v>
      </c>
      <c r="C24" s="312">
        <v>400</v>
      </c>
      <c r="D24" s="81" t="s">
        <v>221</v>
      </c>
      <c r="E24" s="81" t="s">
        <v>376</v>
      </c>
      <c r="F24" s="65">
        <v>244</v>
      </c>
      <c r="G24" s="65">
        <v>228</v>
      </c>
      <c r="H24" s="43">
        <v>25000</v>
      </c>
      <c r="I24" s="65">
        <v>0</v>
      </c>
      <c r="J24" s="65">
        <v>0</v>
      </c>
    </row>
    <row r="25" spans="1:10" x14ac:dyDescent="0.2">
      <c r="B25" s="45" t="s">
        <v>509</v>
      </c>
      <c r="C25" s="312">
        <v>400</v>
      </c>
      <c r="D25" s="81" t="s">
        <v>221</v>
      </c>
      <c r="E25" s="81" t="s">
        <v>376</v>
      </c>
      <c r="F25" s="65">
        <v>244</v>
      </c>
      <c r="G25" s="65">
        <v>228</v>
      </c>
      <c r="H25" s="43">
        <v>25000</v>
      </c>
      <c r="I25" s="65">
        <v>0</v>
      </c>
      <c r="J25" s="65">
        <v>0</v>
      </c>
    </row>
    <row r="26" spans="1:10" x14ac:dyDescent="0.2">
      <c r="B26" s="45" t="s">
        <v>510</v>
      </c>
      <c r="C26" s="312">
        <v>400</v>
      </c>
      <c r="D26" s="81" t="s">
        <v>221</v>
      </c>
      <c r="E26" s="81" t="s">
        <v>376</v>
      </c>
      <c r="F26" s="65">
        <v>244</v>
      </c>
      <c r="G26" s="65">
        <v>228</v>
      </c>
      <c r="H26" s="43">
        <v>25000</v>
      </c>
      <c r="I26" s="65">
        <v>0</v>
      </c>
      <c r="J26" s="65">
        <v>0</v>
      </c>
    </row>
    <row r="27" spans="1:10" x14ac:dyDescent="0.2">
      <c r="B27" s="45" t="s">
        <v>511</v>
      </c>
      <c r="C27" s="312">
        <v>400</v>
      </c>
      <c r="D27" s="81" t="s">
        <v>221</v>
      </c>
      <c r="E27" s="81" t="s">
        <v>376</v>
      </c>
      <c r="F27" s="65">
        <v>244</v>
      </c>
      <c r="G27" s="65">
        <v>228</v>
      </c>
      <c r="H27" s="43">
        <v>25000</v>
      </c>
      <c r="I27" s="65">
        <v>0</v>
      </c>
      <c r="J27" s="65">
        <v>0</v>
      </c>
    </row>
    <row r="28" spans="1:10" x14ac:dyDescent="0.2">
      <c r="B28" s="45" t="s">
        <v>512</v>
      </c>
      <c r="C28" s="312">
        <v>400</v>
      </c>
      <c r="D28" s="81" t="s">
        <v>221</v>
      </c>
      <c r="E28" s="81" t="s">
        <v>376</v>
      </c>
      <c r="F28" s="65">
        <v>244</v>
      </c>
      <c r="G28" s="65">
        <v>228</v>
      </c>
      <c r="H28" s="43">
        <v>25000</v>
      </c>
      <c r="I28" s="65">
        <v>0</v>
      </c>
      <c r="J28" s="65">
        <v>0</v>
      </c>
    </row>
    <row r="29" spans="1:10" x14ac:dyDescent="0.2">
      <c r="B29" s="46" t="s">
        <v>513</v>
      </c>
      <c r="C29" s="311">
        <v>400</v>
      </c>
      <c r="D29" s="187" t="s">
        <v>221</v>
      </c>
      <c r="E29" s="187" t="s">
        <v>376</v>
      </c>
      <c r="F29" s="309">
        <v>244</v>
      </c>
      <c r="G29" s="309">
        <v>228</v>
      </c>
      <c r="H29" s="42">
        <f>SUM(H18:H28)</f>
        <v>275000</v>
      </c>
      <c r="I29" s="42">
        <f>SUM(I18:I28)</f>
        <v>0</v>
      </c>
      <c r="J29" s="42">
        <f>SUM(J18:J28)</f>
        <v>0</v>
      </c>
    </row>
    <row r="30" spans="1:10" ht="15" x14ac:dyDescent="0.2">
      <c r="B30" s="151" t="s">
        <v>416</v>
      </c>
      <c r="C30" s="312">
        <v>400</v>
      </c>
      <c r="D30" s="81" t="s">
        <v>220</v>
      </c>
      <c r="E30" s="81" t="s">
        <v>377</v>
      </c>
      <c r="F30" s="65">
        <v>244</v>
      </c>
      <c r="G30" s="65">
        <v>228</v>
      </c>
      <c r="H30" s="43">
        <v>25000</v>
      </c>
      <c r="I30" s="65">
        <v>0</v>
      </c>
      <c r="J30" s="65">
        <v>0</v>
      </c>
    </row>
    <row r="31" spans="1:10" ht="14.25" x14ac:dyDescent="0.2">
      <c r="B31" s="245" t="s">
        <v>514</v>
      </c>
      <c r="C31" s="311">
        <v>400</v>
      </c>
      <c r="D31" s="187" t="s">
        <v>220</v>
      </c>
      <c r="E31" s="187" t="s">
        <v>377</v>
      </c>
      <c r="F31" s="309">
        <v>244</v>
      </c>
      <c r="G31" s="309">
        <v>228</v>
      </c>
      <c r="H31" s="42">
        <f>H30</f>
        <v>25000</v>
      </c>
      <c r="I31" s="42">
        <f>I30</f>
        <v>0</v>
      </c>
      <c r="J31" s="42">
        <f>J30</f>
        <v>0</v>
      </c>
    </row>
    <row r="32" spans="1:10" ht="15" x14ac:dyDescent="0.2">
      <c r="B32" s="151" t="s">
        <v>515</v>
      </c>
      <c r="C32" s="312">
        <v>992</v>
      </c>
      <c r="D32" s="81" t="s">
        <v>324</v>
      </c>
      <c r="E32" s="81" t="s">
        <v>486</v>
      </c>
      <c r="F32" s="65">
        <v>611</v>
      </c>
      <c r="G32" s="65">
        <v>241</v>
      </c>
      <c r="H32" s="43">
        <v>25000</v>
      </c>
      <c r="I32" s="65">
        <v>0</v>
      </c>
      <c r="J32" s="65">
        <v>0</v>
      </c>
    </row>
    <row r="33" spans="1:10" ht="15" x14ac:dyDescent="0.2">
      <c r="B33" s="151" t="s">
        <v>516</v>
      </c>
      <c r="C33" s="312">
        <v>992</v>
      </c>
      <c r="D33" s="81" t="s">
        <v>324</v>
      </c>
      <c r="E33" s="81" t="s">
        <v>482</v>
      </c>
      <c r="F33" s="65">
        <v>611</v>
      </c>
      <c r="G33" s="65">
        <v>241</v>
      </c>
      <c r="H33" s="43">
        <v>25000</v>
      </c>
      <c r="I33" s="65">
        <v>0</v>
      </c>
      <c r="J33" s="65">
        <v>0</v>
      </c>
    </row>
    <row r="34" spans="1:10" ht="14.25" x14ac:dyDescent="0.2">
      <c r="B34" s="245" t="s">
        <v>517</v>
      </c>
      <c r="C34" s="311">
        <v>992</v>
      </c>
      <c r="D34" s="187" t="s">
        <v>324</v>
      </c>
      <c r="E34" s="187"/>
      <c r="F34" s="309">
        <v>611</v>
      </c>
      <c r="G34" s="309">
        <v>241</v>
      </c>
      <c r="H34" s="42">
        <f>SUM(H32:H33)</f>
        <v>50000</v>
      </c>
      <c r="I34" s="42">
        <f>SUM(I32:I33)</f>
        <v>0</v>
      </c>
      <c r="J34" s="42">
        <f>SUM(J32:J33)</f>
        <v>0</v>
      </c>
    </row>
    <row r="35" spans="1:10" ht="14.25" x14ac:dyDescent="0.2">
      <c r="B35" s="245" t="s">
        <v>519</v>
      </c>
      <c r="C35" s="312"/>
      <c r="D35" s="81"/>
      <c r="E35" s="81"/>
      <c r="F35" s="65"/>
      <c r="G35" s="65"/>
      <c r="H35" s="42">
        <f>SUM(H29,H31,H34)</f>
        <v>350000</v>
      </c>
      <c r="I35" s="42">
        <f>SUM(I29,I31,I34)</f>
        <v>0</v>
      </c>
      <c r="J35" s="42">
        <f>SUM(J29,J31,J34)</f>
        <v>0</v>
      </c>
    </row>
    <row r="36" spans="1:10" x14ac:dyDescent="0.2">
      <c r="B36" s="38"/>
      <c r="H36" s="56"/>
    </row>
    <row r="37" spans="1:10" x14ac:dyDescent="0.2">
      <c r="A37" s="392" t="s">
        <v>544</v>
      </c>
      <c r="B37" s="392"/>
      <c r="C37" s="392"/>
      <c r="D37" s="392"/>
      <c r="E37" s="392"/>
      <c r="F37" s="392"/>
      <c r="G37" s="392"/>
      <c r="H37" s="392"/>
      <c r="I37" s="392"/>
      <c r="J37" s="392"/>
    </row>
    <row r="38" spans="1:10" x14ac:dyDescent="0.2">
      <c r="B38" s="38"/>
      <c r="H38" s="56"/>
    </row>
    <row r="39" spans="1:10" x14ac:dyDescent="0.2">
      <c r="A39" s="26"/>
      <c r="B39" s="26" t="s">
        <v>419</v>
      </c>
      <c r="C39" s="65">
        <v>400</v>
      </c>
      <c r="D39" s="81" t="s">
        <v>221</v>
      </c>
      <c r="E39" s="81" t="s">
        <v>376</v>
      </c>
      <c r="F39" s="81" t="s">
        <v>420</v>
      </c>
      <c r="G39" s="81" t="s">
        <v>499</v>
      </c>
      <c r="H39" s="43">
        <v>6000</v>
      </c>
      <c r="I39" s="65">
        <v>3000</v>
      </c>
      <c r="J39" s="65">
        <v>3000</v>
      </c>
    </row>
    <row r="40" spans="1:10" x14ac:dyDescent="0.2">
      <c r="A40" s="26"/>
      <c r="B40" s="26" t="s">
        <v>422</v>
      </c>
      <c r="C40" s="65">
        <v>400</v>
      </c>
      <c r="D40" s="81" t="s">
        <v>221</v>
      </c>
      <c r="E40" s="81" t="s">
        <v>376</v>
      </c>
      <c r="F40" s="81" t="s">
        <v>420</v>
      </c>
      <c r="G40" s="81" t="s">
        <v>499</v>
      </c>
      <c r="H40" s="43">
        <v>6000</v>
      </c>
      <c r="I40" s="65">
        <v>3000</v>
      </c>
      <c r="J40" s="65">
        <v>3000</v>
      </c>
    </row>
    <row r="41" spans="1:10" x14ac:dyDescent="0.2">
      <c r="A41" s="26"/>
      <c r="B41" s="26" t="s">
        <v>423</v>
      </c>
      <c r="C41" s="65">
        <v>400</v>
      </c>
      <c r="D41" s="81" t="s">
        <v>221</v>
      </c>
      <c r="E41" s="81" t="s">
        <v>376</v>
      </c>
      <c r="F41" s="81" t="s">
        <v>420</v>
      </c>
      <c r="G41" s="81" t="s">
        <v>499</v>
      </c>
      <c r="H41" s="43">
        <v>6000</v>
      </c>
      <c r="I41" s="65">
        <v>3000</v>
      </c>
      <c r="J41" s="65">
        <v>3000</v>
      </c>
    </row>
    <row r="42" spans="1:10" x14ac:dyDescent="0.2">
      <c r="A42" s="26"/>
      <c r="B42" s="26" t="s">
        <v>424</v>
      </c>
      <c r="C42" s="65">
        <v>400</v>
      </c>
      <c r="D42" s="81" t="s">
        <v>221</v>
      </c>
      <c r="E42" s="81" t="s">
        <v>376</v>
      </c>
      <c r="F42" s="81" t="s">
        <v>420</v>
      </c>
      <c r="G42" s="81" t="s">
        <v>499</v>
      </c>
      <c r="H42" s="43">
        <v>6000</v>
      </c>
      <c r="I42" s="65">
        <v>3000</v>
      </c>
      <c r="J42" s="65">
        <v>3000</v>
      </c>
    </row>
    <row r="43" spans="1:10" x14ac:dyDescent="0.2">
      <c r="A43" s="26"/>
      <c r="B43" s="26" t="s">
        <v>425</v>
      </c>
      <c r="C43" s="65">
        <v>400</v>
      </c>
      <c r="D43" s="81" t="s">
        <v>221</v>
      </c>
      <c r="E43" s="81" t="s">
        <v>376</v>
      </c>
      <c r="F43" s="81" t="s">
        <v>420</v>
      </c>
      <c r="G43" s="81" t="s">
        <v>499</v>
      </c>
      <c r="H43" s="43">
        <v>6000</v>
      </c>
      <c r="I43" s="65">
        <v>3000</v>
      </c>
      <c r="J43" s="65">
        <v>3000</v>
      </c>
    </row>
    <row r="44" spans="1:10" x14ac:dyDescent="0.2">
      <c r="A44" s="26"/>
      <c r="B44" s="26" t="s">
        <v>426</v>
      </c>
      <c r="C44" s="65">
        <v>400</v>
      </c>
      <c r="D44" s="81" t="s">
        <v>221</v>
      </c>
      <c r="E44" s="81" t="s">
        <v>376</v>
      </c>
      <c r="F44" s="81" t="s">
        <v>420</v>
      </c>
      <c r="G44" s="81" t="s">
        <v>499</v>
      </c>
      <c r="H44" s="43">
        <v>6000</v>
      </c>
      <c r="I44" s="65">
        <v>3000</v>
      </c>
      <c r="J44" s="65">
        <v>3000</v>
      </c>
    </row>
    <row r="45" spans="1:10" x14ac:dyDescent="0.2">
      <c r="A45" s="26"/>
      <c r="B45" s="26" t="s">
        <v>427</v>
      </c>
      <c r="C45" s="65">
        <v>400</v>
      </c>
      <c r="D45" s="81" t="s">
        <v>221</v>
      </c>
      <c r="E45" s="81" t="s">
        <v>376</v>
      </c>
      <c r="F45" s="81" t="s">
        <v>420</v>
      </c>
      <c r="G45" s="81" t="s">
        <v>499</v>
      </c>
      <c r="H45" s="43">
        <v>6000</v>
      </c>
      <c r="I45" s="65">
        <v>3000</v>
      </c>
      <c r="J45" s="65">
        <v>3000</v>
      </c>
    </row>
    <row r="46" spans="1:10" x14ac:dyDescent="0.2">
      <c r="A46" s="26"/>
      <c r="B46" s="26" t="s">
        <v>428</v>
      </c>
      <c r="C46" s="65">
        <v>400</v>
      </c>
      <c r="D46" s="81" t="s">
        <v>221</v>
      </c>
      <c r="E46" s="81" t="s">
        <v>376</v>
      </c>
      <c r="F46" s="81" t="s">
        <v>420</v>
      </c>
      <c r="G46" s="81" t="s">
        <v>499</v>
      </c>
      <c r="H46" s="43">
        <v>6000</v>
      </c>
      <c r="I46" s="65">
        <v>3000</v>
      </c>
      <c r="J46" s="65">
        <v>3000</v>
      </c>
    </row>
    <row r="47" spans="1:10" x14ac:dyDescent="0.2">
      <c r="A47" s="26"/>
      <c r="B47" s="26" t="s">
        <v>429</v>
      </c>
      <c r="C47" s="65">
        <v>400</v>
      </c>
      <c r="D47" s="81" t="s">
        <v>221</v>
      </c>
      <c r="E47" s="81" t="s">
        <v>376</v>
      </c>
      <c r="F47" s="81" t="s">
        <v>420</v>
      </c>
      <c r="G47" s="81" t="s">
        <v>499</v>
      </c>
      <c r="H47" s="43">
        <v>6000</v>
      </c>
      <c r="I47" s="65">
        <v>3000</v>
      </c>
      <c r="J47" s="65">
        <v>3000</v>
      </c>
    </row>
    <row r="48" spans="1:10" x14ac:dyDescent="0.2">
      <c r="A48" s="26"/>
      <c r="B48" s="26" t="s">
        <v>430</v>
      </c>
      <c r="C48" s="65">
        <v>400</v>
      </c>
      <c r="D48" s="81" t="s">
        <v>221</v>
      </c>
      <c r="E48" s="81" t="s">
        <v>376</v>
      </c>
      <c r="F48" s="81" t="s">
        <v>420</v>
      </c>
      <c r="G48" s="81" t="s">
        <v>499</v>
      </c>
      <c r="H48" s="43">
        <v>6000</v>
      </c>
      <c r="I48" s="65">
        <v>3000</v>
      </c>
      <c r="J48" s="65">
        <v>3000</v>
      </c>
    </row>
    <row r="49" spans="1:10" x14ac:dyDescent="0.2">
      <c r="A49" s="26"/>
      <c r="B49" s="26" t="s">
        <v>431</v>
      </c>
      <c r="C49" s="65">
        <v>400</v>
      </c>
      <c r="D49" s="81" t="s">
        <v>221</v>
      </c>
      <c r="E49" s="81" t="s">
        <v>376</v>
      </c>
      <c r="F49" s="81" t="s">
        <v>420</v>
      </c>
      <c r="G49" s="81" t="s">
        <v>499</v>
      </c>
      <c r="H49" s="43">
        <v>6000</v>
      </c>
      <c r="I49" s="65">
        <v>3000</v>
      </c>
      <c r="J49" s="65">
        <v>3000</v>
      </c>
    </row>
    <row r="50" spans="1:10" x14ac:dyDescent="0.2">
      <c r="A50" s="26"/>
      <c r="B50" s="26" t="s">
        <v>432</v>
      </c>
      <c r="C50" s="65">
        <v>400</v>
      </c>
      <c r="D50" s="81" t="s">
        <v>221</v>
      </c>
      <c r="E50" s="81" t="s">
        <v>376</v>
      </c>
      <c r="F50" s="81" t="s">
        <v>420</v>
      </c>
      <c r="G50" s="81" t="s">
        <v>499</v>
      </c>
      <c r="H50" s="43">
        <v>6000</v>
      </c>
      <c r="I50" s="65">
        <v>3000</v>
      </c>
      <c r="J50" s="65">
        <v>3000</v>
      </c>
    </row>
    <row r="51" spans="1:10" x14ac:dyDescent="0.2">
      <c r="A51" s="26"/>
      <c r="B51" s="26" t="s">
        <v>433</v>
      </c>
      <c r="C51" s="65">
        <v>400</v>
      </c>
      <c r="D51" s="81" t="s">
        <v>221</v>
      </c>
      <c r="E51" s="81" t="s">
        <v>376</v>
      </c>
      <c r="F51" s="81" t="s">
        <v>420</v>
      </c>
      <c r="G51" s="81" t="s">
        <v>499</v>
      </c>
      <c r="H51" s="43">
        <v>6000</v>
      </c>
      <c r="I51" s="65">
        <v>3000</v>
      </c>
      <c r="J51" s="65">
        <v>3000</v>
      </c>
    </row>
    <row r="52" spans="1:10" x14ac:dyDescent="0.2">
      <c r="A52" s="26"/>
      <c r="B52" s="26" t="s">
        <v>520</v>
      </c>
      <c r="C52" s="65">
        <v>400</v>
      </c>
      <c r="D52" s="81" t="s">
        <v>221</v>
      </c>
      <c r="E52" s="81" t="s">
        <v>376</v>
      </c>
      <c r="F52" s="81" t="s">
        <v>420</v>
      </c>
      <c r="G52" s="81" t="s">
        <v>499</v>
      </c>
      <c r="H52" s="43">
        <v>6000</v>
      </c>
      <c r="I52" s="65">
        <v>3000</v>
      </c>
      <c r="J52" s="65">
        <v>3000</v>
      </c>
    </row>
    <row r="53" spans="1:10" x14ac:dyDescent="0.2">
      <c r="A53" s="26"/>
      <c r="B53" s="26" t="s">
        <v>521</v>
      </c>
      <c r="C53" s="65">
        <v>400</v>
      </c>
      <c r="D53" s="81" t="s">
        <v>221</v>
      </c>
      <c r="E53" s="81" t="s">
        <v>376</v>
      </c>
      <c r="F53" s="81" t="s">
        <v>420</v>
      </c>
      <c r="G53" s="81" t="s">
        <v>499</v>
      </c>
      <c r="H53" s="43">
        <v>6000</v>
      </c>
      <c r="I53" s="65">
        <v>3000</v>
      </c>
      <c r="J53" s="65">
        <v>3000</v>
      </c>
    </row>
    <row r="54" spans="1:10" x14ac:dyDescent="0.2">
      <c r="A54" s="26"/>
      <c r="B54" s="26" t="s">
        <v>522</v>
      </c>
      <c r="C54" s="65">
        <v>400</v>
      </c>
      <c r="D54" s="81" t="s">
        <v>221</v>
      </c>
      <c r="E54" s="81" t="s">
        <v>376</v>
      </c>
      <c r="F54" s="81" t="s">
        <v>420</v>
      </c>
      <c r="G54" s="81" t="s">
        <v>499</v>
      </c>
      <c r="H54" s="43">
        <v>6000</v>
      </c>
      <c r="I54" s="65">
        <v>3000</v>
      </c>
      <c r="J54" s="65">
        <v>3000</v>
      </c>
    </row>
    <row r="55" spans="1:10" x14ac:dyDescent="0.2">
      <c r="A55" s="26"/>
      <c r="B55" s="26" t="s">
        <v>523</v>
      </c>
      <c r="C55" s="65">
        <v>400</v>
      </c>
      <c r="D55" s="81" t="s">
        <v>221</v>
      </c>
      <c r="E55" s="81" t="s">
        <v>376</v>
      </c>
      <c r="F55" s="81" t="s">
        <v>420</v>
      </c>
      <c r="G55" s="81" t="s">
        <v>499</v>
      </c>
      <c r="H55" s="43">
        <v>6000</v>
      </c>
      <c r="I55" s="65">
        <v>3000</v>
      </c>
      <c r="J55" s="65">
        <v>3000</v>
      </c>
    </row>
    <row r="56" spans="1:10" x14ac:dyDescent="0.2">
      <c r="A56" s="26"/>
      <c r="B56" s="26" t="s">
        <v>524</v>
      </c>
      <c r="C56" s="65">
        <v>400</v>
      </c>
      <c r="D56" s="81" t="s">
        <v>221</v>
      </c>
      <c r="E56" s="81" t="s">
        <v>376</v>
      </c>
      <c r="F56" s="81" t="s">
        <v>420</v>
      </c>
      <c r="G56" s="81" t="s">
        <v>499</v>
      </c>
      <c r="H56" s="43">
        <v>6000</v>
      </c>
      <c r="I56" s="65">
        <v>3000</v>
      </c>
      <c r="J56" s="65">
        <v>3000</v>
      </c>
    </row>
    <row r="57" spans="1:10" x14ac:dyDescent="0.2">
      <c r="A57" s="26"/>
      <c r="B57" s="26" t="s">
        <v>525</v>
      </c>
      <c r="C57" s="65">
        <v>400</v>
      </c>
      <c r="D57" s="81" t="s">
        <v>221</v>
      </c>
      <c r="E57" s="81" t="s">
        <v>376</v>
      </c>
      <c r="F57" s="81" t="s">
        <v>420</v>
      </c>
      <c r="G57" s="81" t="s">
        <v>499</v>
      </c>
      <c r="H57" s="43">
        <v>6000</v>
      </c>
      <c r="I57" s="65">
        <v>3000</v>
      </c>
      <c r="J57" s="65">
        <v>3000</v>
      </c>
    </row>
    <row r="58" spans="1:10" x14ac:dyDescent="0.2">
      <c r="A58" s="26"/>
      <c r="B58" s="26" t="s">
        <v>526</v>
      </c>
      <c r="C58" s="65">
        <v>400</v>
      </c>
      <c r="D58" s="81" t="s">
        <v>221</v>
      </c>
      <c r="E58" s="81" t="s">
        <v>376</v>
      </c>
      <c r="F58" s="81" t="s">
        <v>420</v>
      </c>
      <c r="G58" s="81" t="s">
        <v>499</v>
      </c>
      <c r="H58" s="43">
        <v>6000</v>
      </c>
      <c r="I58" s="65">
        <v>3000</v>
      </c>
      <c r="J58" s="65">
        <v>3000</v>
      </c>
    </row>
    <row r="59" spans="1:10" x14ac:dyDescent="0.2">
      <c r="A59" s="26"/>
      <c r="B59" s="26" t="s">
        <v>527</v>
      </c>
      <c r="C59" s="65">
        <v>400</v>
      </c>
      <c r="D59" s="81" t="s">
        <v>221</v>
      </c>
      <c r="E59" s="81" t="s">
        <v>376</v>
      </c>
      <c r="F59" s="81" t="s">
        <v>420</v>
      </c>
      <c r="G59" s="81" t="s">
        <v>499</v>
      </c>
      <c r="H59" s="43">
        <v>6000</v>
      </c>
      <c r="I59" s="65">
        <v>3000</v>
      </c>
      <c r="J59" s="65">
        <v>3000</v>
      </c>
    </row>
    <row r="60" spans="1:10" x14ac:dyDescent="0.2">
      <c r="A60" s="26"/>
      <c r="B60" s="26" t="s">
        <v>442</v>
      </c>
      <c r="C60" s="65">
        <v>400</v>
      </c>
      <c r="D60" s="81" t="s">
        <v>221</v>
      </c>
      <c r="E60" s="81" t="s">
        <v>376</v>
      </c>
      <c r="F60" s="81" t="s">
        <v>420</v>
      </c>
      <c r="G60" s="81" t="s">
        <v>499</v>
      </c>
      <c r="H60" s="43">
        <v>6000</v>
      </c>
      <c r="I60" s="65">
        <v>3000</v>
      </c>
      <c r="J60" s="65">
        <v>3000</v>
      </c>
    </row>
    <row r="61" spans="1:10" x14ac:dyDescent="0.2">
      <c r="A61" s="26"/>
      <c r="B61" s="26" t="s">
        <v>443</v>
      </c>
      <c r="C61" s="65">
        <v>400</v>
      </c>
      <c r="D61" s="81" t="s">
        <v>221</v>
      </c>
      <c r="E61" s="81" t="s">
        <v>376</v>
      </c>
      <c r="F61" s="81" t="s">
        <v>420</v>
      </c>
      <c r="G61" s="81" t="s">
        <v>499</v>
      </c>
      <c r="H61" s="43">
        <v>6000</v>
      </c>
      <c r="I61" s="65">
        <v>3000</v>
      </c>
      <c r="J61" s="65">
        <v>3000</v>
      </c>
    </row>
    <row r="62" spans="1:10" x14ac:dyDescent="0.2">
      <c r="A62" s="26"/>
      <c r="B62" s="26" t="s">
        <v>444</v>
      </c>
      <c r="C62" s="65">
        <v>400</v>
      </c>
      <c r="D62" s="81" t="s">
        <v>221</v>
      </c>
      <c r="E62" s="81" t="s">
        <v>376</v>
      </c>
      <c r="F62" s="81" t="s">
        <v>420</v>
      </c>
      <c r="G62" s="81" t="s">
        <v>499</v>
      </c>
      <c r="H62" s="43">
        <v>6000</v>
      </c>
      <c r="I62" s="65">
        <v>3000</v>
      </c>
      <c r="J62" s="65">
        <v>3000</v>
      </c>
    </row>
    <row r="63" spans="1:10" x14ac:dyDescent="0.2">
      <c r="A63" s="26"/>
      <c r="B63" s="26" t="s">
        <v>528</v>
      </c>
      <c r="C63" s="65">
        <v>400</v>
      </c>
      <c r="D63" s="81" t="s">
        <v>221</v>
      </c>
      <c r="E63" s="81" t="s">
        <v>376</v>
      </c>
      <c r="F63" s="81" t="s">
        <v>420</v>
      </c>
      <c r="G63" s="81" t="s">
        <v>499</v>
      </c>
      <c r="H63" s="43">
        <v>6000</v>
      </c>
      <c r="I63" s="65">
        <v>3000</v>
      </c>
      <c r="J63" s="65">
        <v>3000</v>
      </c>
    </row>
    <row r="64" spans="1:10" x14ac:dyDescent="0.2">
      <c r="A64" s="26"/>
      <c r="B64" s="26" t="s">
        <v>507</v>
      </c>
      <c r="C64" s="65">
        <v>400</v>
      </c>
      <c r="D64" s="81" t="s">
        <v>221</v>
      </c>
      <c r="E64" s="81" t="s">
        <v>376</v>
      </c>
      <c r="F64" s="81" t="s">
        <v>420</v>
      </c>
      <c r="G64" s="81" t="s">
        <v>499</v>
      </c>
      <c r="H64" s="43">
        <v>3000</v>
      </c>
      <c r="I64" s="65">
        <v>3000</v>
      </c>
      <c r="J64" s="65">
        <v>3000</v>
      </c>
    </row>
    <row r="65" spans="1:10" x14ac:dyDescent="0.2">
      <c r="A65" s="26"/>
      <c r="B65" s="26" t="s">
        <v>508</v>
      </c>
      <c r="C65" s="65">
        <v>400</v>
      </c>
      <c r="D65" s="81" t="s">
        <v>221</v>
      </c>
      <c r="E65" s="81" t="s">
        <v>376</v>
      </c>
      <c r="F65" s="81" t="s">
        <v>420</v>
      </c>
      <c r="G65" s="81" t="s">
        <v>499</v>
      </c>
      <c r="H65" s="43">
        <v>3000</v>
      </c>
      <c r="I65" s="65">
        <v>3000</v>
      </c>
      <c r="J65" s="65">
        <v>3000</v>
      </c>
    </row>
    <row r="66" spans="1:10" x14ac:dyDescent="0.2">
      <c r="A66" s="26"/>
      <c r="B66" s="26" t="s">
        <v>509</v>
      </c>
      <c r="C66" s="65">
        <v>400</v>
      </c>
      <c r="D66" s="81" t="s">
        <v>221</v>
      </c>
      <c r="E66" s="81" t="s">
        <v>376</v>
      </c>
      <c r="F66" s="81" t="s">
        <v>420</v>
      </c>
      <c r="G66" s="81" t="s">
        <v>499</v>
      </c>
      <c r="H66" s="43">
        <v>3000</v>
      </c>
      <c r="I66" s="65">
        <v>3000</v>
      </c>
      <c r="J66" s="65">
        <v>3000</v>
      </c>
    </row>
    <row r="67" spans="1:10" x14ac:dyDescent="0.2">
      <c r="A67" s="26"/>
      <c r="B67" s="26" t="s">
        <v>537</v>
      </c>
      <c r="C67" s="65">
        <v>400</v>
      </c>
      <c r="D67" s="81" t="s">
        <v>221</v>
      </c>
      <c r="E67" s="81" t="s">
        <v>376</v>
      </c>
      <c r="F67" s="81" t="s">
        <v>420</v>
      </c>
      <c r="G67" s="81" t="s">
        <v>499</v>
      </c>
      <c r="H67" s="43">
        <v>3000</v>
      </c>
      <c r="I67" s="65">
        <v>3000</v>
      </c>
      <c r="J67" s="65">
        <v>3000</v>
      </c>
    </row>
    <row r="68" spans="1:10" x14ac:dyDescent="0.2">
      <c r="A68" s="26"/>
      <c r="B68" s="26" t="s">
        <v>538</v>
      </c>
      <c r="C68" s="65">
        <v>400</v>
      </c>
      <c r="D68" s="81" t="s">
        <v>221</v>
      </c>
      <c r="E68" s="81" t="s">
        <v>376</v>
      </c>
      <c r="F68" s="81" t="s">
        <v>420</v>
      </c>
      <c r="G68" s="81" t="s">
        <v>499</v>
      </c>
      <c r="H68" s="43">
        <v>3000</v>
      </c>
      <c r="I68" s="65"/>
      <c r="J68" s="65">
        <v>3000</v>
      </c>
    </row>
    <row r="69" spans="1:10" x14ac:dyDescent="0.2">
      <c r="A69" s="26"/>
      <c r="B69" s="26" t="s">
        <v>512</v>
      </c>
      <c r="C69" s="65">
        <v>400</v>
      </c>
      <c r="D69" s="81" t="s">
        <v>221</v>
      </c>
      <c r="E69" s="81" t="s">
        <v>376</v>
      </c>
      <c r="F69" s="81" t="s">
        <v>420</v>
      </c>
      <c r="G69" s="81" t="s">
        <v>499</v>
      </c>
      <c r="H69" s="43">
        <v>3000</v>
      </c>
      <c r="I69" s="65">
        <v>3000</v>
      </c>
      <c r="J69" s="65">
        <v>3000</v>
      </c>
    </row>
    <row r="70" spans="1:10" x14ac:dyDescent="0.2">
      <c r="A70" s="26"/>
      <c r="B70" s="34" t="s">
        <v>529</v>
      </c>
      <c r="C70" s="309">
        <v>400</v>
      </c>
      <c r="D70" s="187" t="s">
        <v>221</v>
      </c>
      <c r="E70" s="187" t="s">
        <v>376</v>
      </c>
      <c r="F70" s="187" t="s">
        <v>420</v>
      </c>
      <c r="G70" s="187" t="s">
        <v>499</v>
      </c>
      <c r="H70" s="42">
        <f>SUM(H39:H69)</f>
        <v>168000</v>
      </c>
      <c r="I70" s="42">
        <f>SUM(I39:I69)</f>
        <v>90000</v>
      </c>
      <c r="J70" s="42">
        <f>SUM(J39:J69)</f>
        <v>93000</v>
      </c>
    </row>
    <row r="71" spans="1:10" ht="15" x14ac:dyDescent="0.2">
      <c r="A71" s="26"/>
      <c r="B71" s="151" t="s">
        <v>434</v>
      </c>
      <c r="C71" s="65">
        <v>400</v>
      </c>
      <c r="D71" s="81" t="s">
        <v>220</v>
      </c>
      <c r="E71" s="81" t="s">
        <v>377</v>
      </c>
      <c r="F71" s="81" t="s">
        <v>420</v>
      </c>
      <c r="G71" s="81" t="s">
        <v>499</v>
      </c>
      <c r="H71" s="43">
        <v>6000</v>
      </c>
      <c r="I71" s="43">
        <v>3000</v>
      </c>
      <c r="J71" s="65">
        <v>3000</v>
      </c>
    </row>
    <row r="72" spans="1:10" ht="15" x14ac:dyDescent="0.2">
      <c r="A72" s="26"/>
      <c r="B72" s="151" t="s">
        <v>435</v>
      </c>
      <c r="C72" s="65">
        <v>400</v>
      </c>
      <c r="D72" s="81" t="s">
        <v>220</v>
      </c>
      <c r="E72" s="81" t="s">
        <v>377</v>
      </c>
      <c r="F72" s="81" t="s">
        <v>420</v>
      </c>
      <c r="G72" s="81" t="s">
        <v>499</v>
      </c>
      <c r="H72" s="43">
        <v>6000</v>
      </c>
      <c r="I72" s="43">
        <v>3000</v>
      </c>
      <c r="J72" s="65">
        <v>3000</v>
      </c>
    </row>
    <row r="73" spans="1:10" ht="15" x14ac:dyDescent="0.2">
      <c r="A73" s="26"/>
      <c r="B73" s="151" t="s">
        <v>436</v>
      </c>
      <c r="C73" s="65">
        <v>400</v>
      </c>
      <c r="D73" s="81" t="s">
        <v>220</v>
      </c>
      <c r="E73" s="81" t="s">
        <v>377</v>
      </c>
      <c r="F73" s="81" t="s">
        <v>420</v>
      </c>
      <c r="G73" s="81" t="s">
        <v>499</v>
      </c>
      <c r="H73" s="43">
        <v>6000</v>
      </c>
      <c r="I73" s="43">
        <v>3000</v>
      </c>
      <c r="J73" s="65">
        <v>3000</v>
      </c>
    </row>
    <row r="74" spans="1:10" ht="15" x14ac:dyDescent="0.2">
      <c r="A74" s="26"/>
      <c r="B74" s="151" t="s">
        <v>530</v>
      </c>
      <c r="C74" s="65">
        <v>400</v>
      </c>
      <c r="D74" s="81" t="s">
        <v>220</v>
      </c>
      <c r="E74" s="81" t="s">
        <v>377</v>
      </c>
      <c r="F74" s="81" t="s">
        <v>420</v>
      </c>
      <c r="G74" s="81" t="s">
        <v>499</v>
      </c>
      <c r="H74" s="43">
        <v>6000</v>
      </c>
      <c r="I74" s="43">
        <v>3000</v>
      </c>
      <c r="J74" s="65">
        <v>3000</v>
      </c>
    </row>
    <row r="75" spans="1:10" ht="15" x14ac:dyDescent="0.2">
      <c r="A75" s="26"/>
      <c r="B75" s="151" t="s">
        <v>445</v>
      </c>
      <c r="C75" s="65">
        <v>400</v>
      </c>
      <c r="D75" s="81" t="s">
        <v>220</v>
      </c>
      <c r="E75" s="81" t="s">
        <v>377</v>
      </c>
      <c r="F75" s="81" t="s">
        <v>420</v>
      </c>
      <c r="G75" s="81" t="s">
        <v>499</v>
      </c>
      <c r="H75" s="43">
        <v>6000</v>
      </c>
      <c r="I75" s="43">
        <v>3000</v>
      </c>
      <c r="J75" s="65">
        <v>3000</v>
      </c>
    </row>
    <row r="76" spans="1:10" ht="15" x14ac:dyDescent="0.2">
      <c r="A76" s="26"/>
      <c r="B76" s="151" t="s">
        <v>531</v>
      </c>
      <c r="C76" s="65">
        <v>400</v>
      </c>
      <c r="D76" s="81" t="s">
        <v>220</v>
      </c>
      <c r="E76" s="81" t="s">
        <v>377</v>
      </c>
      <c r="F76" s="81" t="s">
        <v>420</v>
      </c>
      <c r="G76" s="81" t="s">
        <v>499</v>
      </c>
      <c r="H76" s="43">
        <v>6000</v>
      </c>
      <c r="I76" s="43">
        <v>3000</v>
      </c>
      <c r="J76" s="65">
        <v>3000</v>
      </c>
    </row>
    <row r="77" spans="1:10" ht="15" x14ac:dyDescent="0.2">
      <c r="A77" s="26"/>
      <c r="B77" s="151" t="s">
        <v>417</v>
      </c>
      <c r="C77" s="65">
        <v>400</v>
      </c>
      <c r="D77" s="81" t="s">
        <v>220</v>
      </c>
      <c r="E77" s="81" t="s">
        <v>377</v>
      </c>
      <c r="F77" s="81" t="s">
        <v>420</v>
      </c>
      <c r="G77" s="81" t="s">
        <v>499</v>
      </c>
      <c r="H77" s="43">
        <v>6000</v>
      </c>
      <c r="I77" s="43">
        <v>3000</v>
      </c>
      <c r="J77" s="65">
        <v>3000</v>
      </c>
    </row>
    <row r="78" spans="1:10" ht="15" x14ac:dyDescent="0.2">
      <c r="A78" s="26"/>
      <c r="B78" s="151" t="s">
        <v>532</v>
      </c>
      <c r="C78" s="65">
        <v>400</v>
      </c>
      <c r="D78" s="81" t="s">
        <v>220</v>
      </c>
      <c r="E78" s="81" t="s">
        <v>377</v>
      </c>
      <c r="F78" s="81" t="s">
        <v>420</v>
      </c>
      <c r="G78" s="81" t="s">
        <v>499</v>
      </c>
      <c r="H78" s="43">
        <v>6000</v>
      </c>
      <c r="I78" s="43">
        <v>3000</v>
      </c>
      <c r="J78" s="65">
        <v>3000</v>
      </c>
    </row>
    <row r="79" spans="1:10" ht="15" x14ac:dyDescent="0.2">
      <c r="A79" s="26"/>
      <c r="B79" s="151" t="s">
        <v>437</v>
      </c>
      <c r="C79" s="65">
        <v>400</v>
      </c>
      <c r="D79" s="81" t="s">
        <v>220</v>
      </c>
      <c r="E79" s="81" t="s">
        <v>377</v>
      </c>
      <c r="F79" s="81" t="s">
        <v>420</v>
      </c>
      <c r="G79" s="81" t="s">
        <v>499</v>
      </c>
      <c r="H79" s="43">
        <v>6000</v>
      </c>
      <c r="I79" s="43">
        <v>3000</v>
      </c>
      <c r="J79" s="65">
        <v>3000</v>
      </c>
    </row>
    <row r="80" spans="1:10" ht="15" x14ac:dyDescent="0.2">
      <c r="A80" s="26"/>
      <c r="B80" s="151" t="s">
        <v>533</v>
      </c>
      <c r="C80" s="65">
        <v>400</v>
      </c>
      <c r="D80" s="81" t="s">
        <v>220</v>
      </c>
      <c r="E80" s="81" t="s">
        <v>377</v>
      </c>
      <c r="F80" s="81" t="s">
        <v>420</v>
      </c>
      <c r="G80" s="81" t="s">
        <v>499</v>
      </c>
      <c r="H80" s="43">
        <v>6000</v>
      </c>
      <c r="I80" s="43">
        <v>3000</v>
      </c>
      <c r="J80" s="65">
        <v>3000</v>
      </c>
    </row>
    <row r="81" spans="1:10" ht="15" x14ac:dyDescent="0.2">
      <c r="A81" s="26"/>
      <c r="B81" s="151" t="s">
        <v>438</v>
      </c>
      <c r="C81" s="65">
        <v>400</v>
      </c>
      <c r="D81" s="81" t="s">
        <v>220</v>
      </c>
      <c r="E81" s="81" t="s">
        <v>377</v>
      </c>
      <c r="F81" s="81" t="s">
        <v>420</v>
      </c>
      <c r="G81" s="81" t="s">
        <v>499</v>
      </c>
      <c r="H81" s="43">
        <v>6000</v>
      </c>
      <c r="I81" s="43">
        <v>3000</v>
      </c>
      <c r="J81" s="65">
        <v>3000</v>
      </c>
    </row>
    <row r="82" spans="1:10" ht="15" x14ac:dyDescent="0.2">
      <c r="A82" s="26"/>
      <c r="B82" s="151" t="s">
        <v>534</v>
      </c>
      <c r="C82" s="65">
        <v>400</v>
      </c>
      <c r="D82" s="81" t="s">
        <v>220</v>
      </c>
      <c r="E82" s="81" t="s">
        <v>377</v>
      </c>
      <c r="F82" s="81" t="s">
        <v>420</v>
      </c>
      <c r="G82" s="81" t="s">
        <v>499</v>
      </c>
      <c r="H82" s="43">
        <v>6000</v>
      </c>
      <c r="I82" s="43">
        <v>3000</v>
      </c>
      <c r="J82" s="65">
        <v>3000</v>
      </c>
    </row>
    <row r="83" spans="1:10" ht="15" x14ac:dyDescent="0.2">
      <c r="A83" s="26"/>
      <c r="B83" s="151" t="s">
        <v>439</v>
      </c>
      <c r="C83" s="65">
        <v>400</v>
      </c>
      <c r="D83" s="81" t="s">
        <v>220</v>
      </c>
      <c r="E83" s="81" t="s">
        <v>377</v>
      </c>
      <c r="F83" s="81" t="s">
        <v>420</v>
      </c>
      <c r="G83" s="81" t="s">
        <v>499</v>
      </c>
      <c r="H83" s="43">
        <v>6000</v>
      </c>
      <c r="I83" s="43">
        <v>3000</v>
      </c>
      <c r="J83" s="65">
        <v>3000</v>
      </c>
    </row>
    <row r="84" spans="1:10" ht="15" x14ac:dyDescent="0.2">
      <c r="A84" s="26"/>
      <c r="B84" s="151" t="s">
        <v>440</v>
      </c>
      <c r="C84" s="65">
        <v>400</v>
      </c>
      <c r="D84" s="81" t="s">
        <v>220</v>
      </c>
      <c r="E84" s="81" t="s">
        <v>377</v>
      </c>
      <c r="F84" s="81" t="s">
        <v>420</v>
      </c>
      <c r="G84" s="81" t="s">
        <v>499</v>
      </c>
      <c r="H84" s="43">
        <v>6000</v>
      </c>
      <c r="I84" s="43">
        <v>3000</v>
      </c>
      <c r="J84" s="65">
        <v>3000</v>
      </c>
    </row>
    <row r="85" spans="1:10" ht="15" x14ac:dyDescent="0.2">
      <c r="A85" s="26"/>
      <c r="B85" s="151" t="s">
        <v>418</v>
      </c>
      <c r="C85" s="65">
        <v>400</v>
      </c>
      <c r="D85" s="81" t="s">
        <v>220</v>
      </c>
      <c r="E85" s="81" t="s">
        <v>377</v>
      </c>
      <c r="F85" s="81" t="s">
        <v>420</v>
      </c>
      <c r="G85" s="81" t="s">
        <v>499</v>
      </c>
      <c r="H85" s="43">
        <v>6000</v>
      </c>
      <c r="I85" s="43">
        <v>3000</v>
      </c>
      <c r="J85" s="65">
        <v>3000</v>
      </c>
    </row>
    <row r="86" spans="1:10" ht="15.75" customHeight="1" x14ac:dyDescent="0.2">
      <c r="A86" s="26"/>
      <c r="B86" s="151" t="s">
        <v>535</v>
      </c>
      <c r="C86" s="65">
        <v>400</v>
      </c>
      <c r="D86" s="81" t="s">
        <v>220</v>
      </c>
      <c r="E86" s="81" t="s">
        <v>377</v>
      </c>
      <c r="F86" s="81" t="s">
        <v>420</v>
      </c>
      <c r="G86" s="81" t="s">
        <v>499</v>
      </c>
      <c r="H86" s="43">
        <v>3000</v>
      </c>
      <c r="I86" s="43">
        <v>3000</v>
      </c>
      <c r="J86" s="65">
        <v>3000</v>
      </c>
    </row>
    <row r="87" spans="1:10" ht="14.25" x14ac:dyDescent="0.2">
      <c r="A87" s="26"/>
      <c r="B87" s="245" t="s">
        <v>536</v>
      </c>
      <c r="C87" s="309">
        <v>400</v>
      </c>
      <c r="D87" s="187" t="s">
        <v>220</v>
      </c>
      <c r="E87" s="187" t="s">
        <v>377</v>
      </c>
      <c r="F87" s="187" t="s">
        <v>420</v>
      </c>
      <c r="G87" s="187" t="s">
        <v>499</v>
      </c>
      <c r="H87" s="42">
        <f>SUM(H71:H86)</f>
        <v>93000</v>
      </c>
      <c r="I87" s="42">
        <f>SUM(I71:I86)</f>
        <v>48000</v>
      </c>
      <c r="J87" s="42">
        <f>SUM(J71:J86)</f>
        <v>48000</v>
      </c>
    </row>
    <row r="88" spans="1:10" ht="15" x14ac:dyDescent="0.2">
      <c r="A88" s="26"/>
      <c r="B88" s="151" t="s">
        <v>539</v>
      </c>
      <c r="C88" s="312">
        <v>992</v>
      </c>
      <c r="D88" s="81" t="s">
        <v>324</v>
      </c>
      <c r="E88" s="81" t="s">
        <v>483</v>
      </c>
      <c r="F88" s="65">
        <v>611</v>
      </c>
      <c r="G88" s="65">
        <v>241</v>
      </c>
      <c r="H88" s="43">
        <v>6000</v>
      </c>
      <c r="I88" s="43">
        <f>'[1]МБУ внешк учрежд'!DE8</f>
        <v>18000</v>
      </c>
      <c r="J88" s="43">
        <v>3000</v>
      </c>
    </row>
    <row r="89" spans="1:10" ht="15" x14ac:dyDescent="0.2">
      <c r="A89" s="26"/>
      <c r="B89" s="151" t="s">
        <v>540</v>
      </c>
      <c r="C89" s="312">
        <v>992</v>
      </c>
      <c r="D89" s="81" t="s">
        <v>324</v>
      </c>
      <c r="E89" s="81" t="s">
        <v>485</v>
      </c>
      <c r="F89" s="65">
        <v>611</v>
      </c>
      <c r="G89" s="65">
        <v>241</v>
      </c>
      <c r="H89" s="43">
        <v>6000</v>
      </c>
      <c r="I89" s="43">
        <f>'[1]МБУ внешк учрежд'!DE7</f>
        <v>20000</v>
      </c>
      <c r="J89" s="43">
        <v>3000</v>
      </c>
    </row>
    <row r="90" spans="1:10" ht="15" x14ac:dyDescent="0.2">
      <c r="A90" s="26"/>
      <c r="B90" s="151" t="s">
        <v>541</v>
      </c>
      <c r="C90" s="312">
        <v>992</v>
      </c>
      <c r="D90" s="81" t="s">
        <v>324</v>
      </c>
      <c r="E90" s="81" t="s">
        <v>484</v>
      </c>
      <c r="F90" s="65">
        <v>611</v>
      </c>
      <c r="G90" s="65">
        <v>241</v>
      </c>
      <c r="H90" s="43">
        <v>6000</v>
      </c>
      <c r="I90" s="43">
        <f>'[1]МБУ внешк учрежд'!DE6</f>
        <v>15000</v>
      </c>
      <c r="J90" s="43">
        <v>3000</v>
      </c>
    </row>
    <row r="91" spans="1:10" ht="15" x14ac:dyDescent="0.2">
      <c r="A91" s="26"/>
      <c r="B91" s="151" t="s">
        <v>515</v>
      </c>
      <c r="C91" s="312">
        <v>992</v>
      </c>
      <c r="D91" s="81" t="s">
        <v>324</v>
      </c>
      <c r="E91" s="81" t="s">
        <v>486</v>
      </c>
      <c r="F91" s="65">
        <v>611</v>
      </c>
      <c r="G91" s="65">
        <v>241</v>
      </c>
      <c r="H91" s="43">
        <v>3000</v>
      </c>
      <c r="I91" s="43">
        <f>'[1]МБУ внешк учрежд'!DE9</f>
        <v>15000</v>
      </c>
      <c r="J91" s="43">
        <v>3000</v>
      </c>
    </row>
    <row r="92" spans="1:10" ht="15" x14ac:dyDescent="0.2">
      <c r="A92" s="26"/>
      <c r="B92" s="151" t="s">
        <v>516</v>
      </c>
      <c r="C92" s="312">
        <v>992</v>
      </c>
      <c r="D92" s="81" t="s">
        <v>324</v>
      </c>
      <c r="E92" s="81" t="s">
        <v>482</v>
      </c>
      <c r="F92" s="65">
        <v>611</v>
      </c>
      <c r="G92" s="65">
        <v>241</v>
      </c>
      <c r="H92" s="43">
        <v>3000</v>
      </c>
      <c r="I92" s="43">
        <f>'[1]МБУ внешк учрежд'!DE10</f>
        <v>0</v>
      </c>
      <c r="J92" s="43">
        <v>3000</v>
      </c>
    </row>
    <row r="93" spans="1:10" x14ac:dyDescent="0.2">
      <c r="A93" s="26"/>
      <c r="B93" s="34" t="s">
        <v>542</v>
      </c>
      <c r="C93" s="187" t="s">
        <v>206</v>
      </c>
      <c r="D93" s="187" t="s">
        <v>324</v>
      </c>
      <c r="E93" s="187"/>
      <c r="F93" s="187" t="s">
        <v>479</v>
      </c>
      <c r="G93" s="187" t="s">
        <v>543</v>
      </c>
      <c r="H93" s="42">
        <f>SUM(H88:H92)</f>
        <v>24000</v>
      </c>
      <c r="I93" s="42">
        <f>SUM(I88:I92)</f>
        <v>68000</v>
      </c>
      <c r="J93" s="42">
        <f>SUM(J88:J92)</f>
        <v>15000</v>
      </c>
    </row>
    <row r="94" spans="1:10" x14ac:dyDescent="0.2">
      <c r="A94" s="26"/>
      <c r="B94" s="34" t="s">
        <v>545</v>
      </c>
      <c r="C94" s="187"/>
      <c r="D94" s="187"/>
      <c r="E94" s="187"/>
      <c r="F94" s="187"/>
      <c r="G94" s="187"/>
      <c r="H94" s="42">
        <f>SUM(H70,H87,H93)</f>
        <v>285000</v>
      </c>
      <c r="I94" s="42">
        <f>SUM(I70,I87,I93)</f>
        <v>206000</v>
      </c>
      <c r="J94" s="42">
        <f>SUM(J70,J87,J93)</f>
        <v>156000</v>
      </c>
    </row>
    <row r="95" spans="1:10" x14ac:dyDescent="0.2">
      <c r="B95" s="38"/>
      <c r="C95" s="247"/>
      <c r="D95" s="247"/>
      <c r="E95" s="247"/>
      <c r="F95" s="247"/>
      <c r="G95" s="247"/>
      <c r="H95" s="56"/>
    </row>
    <row r="96" spans="1:10" x14ac:dyDescent="0.2">
      <c r="A96" s="392" t="s">
        <v>546</v>
      </c>
      <c r="B96" s="392"/>
      <c r="C96" s="392"/>
      <c r="D96" s="392"/>
      <c r="E96" s="392"/>
      <c r="F96" s="392"/>
      <c r="G96" s="392"/>
      <c r="H96" s="392"/>
      <c r="I96" s="392"/>
      <c r="J96" s="392"/>
    </row>
    <row r="97" spans="1:10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</row>
    <row r="98" spans="1:10" x14ac:dyDescent="0.2">
      <c r="A98" s="309"/>
      <c r="B98" s="50" t="s">
        <v>547</v>
      </c>
      <c r="C98" s="81">
        <v>400</v>
      </c>
      <c r="D98" s="81" t="s">
        <v>221</v>
      </c>
      <c r="E98" s="81" t="s">
        <v>376</v>
      </c>
      <c r="F98" s="81" t="s">
        <v>420</v>
      </c>
      <c r="G98" s="81" t="s">
        <v>548</v>
      </c>
      <c r="H98" s="65">
        <v>0</v>
      </c>
      <c r="I98" s="65">
        <f>[1]Школы!GV20</f>
        <v>40000</v>
      </c>
      <c r="J98" s="65">
        <v>0</v>
      </c>
    </row>
    <row r="99" spans="1:10" x14ac:dyDescent="0.2">
      <c r="A99" s="309"/>
      <c r="B99" s="50" t="s">
        <v>549</v>
      </c>
      <c r="C99" s="81">
        <v>400</v>
      </c>
      <c r="D99" s="81" t="s">
        <v>221</v>
      </c>
      <c r="E99" s="81" t="s">
        <v>376</v>
      </c>
      <c r="F99" s="81" t="s">
        <v>420</v>
      </c>
      <c r="G99" s="81" t="s">
        <v>548</v>
      </c>
      <c r="H99" s="65">
        <v>0</v>
      </c>
      <c r="I99" s="65">
        <f>[1]Школы!GV13</f>
        <v>0</v>
      </c>
      <c r="J99" s="65">
        <v>0</v>
      </c>
    </row>
    <row r="100" spans="1:10" x14ac:dyDescent="0.2">
      <c r="A100" s="26"/>
      <c r="B100" s="50" t="s">
        <v>550</v>
      </c>
      <c r="C100" s="81">
        <v>400</v>
      </c>
      <c r="D100" s="81" t="s">
        <v>221</v>
      </c>
      <c r="E100" s="81" t="s">
        <v>376</v>
      </c>
      <c r="F100" s="81" t="s">
        <v>420</v>
      </c>
      <c r="G100" s="81" t="s">
        <v>548</v>
      </c>
      <c r="H100" s="65">
        <v>0</v>
      </c>
      <c r="I100" s="65">
        <f>[1]Школы!GV14</f>
        <v>0</v>
      </c>
      <c r="J100" s="65">
        <v>0</v>
      </c>
    </row>
    <row r="101" spans="1:10" x14ac:dyDescent="0.2">
      <c r="A101" s="26"/>
      <c r="B101" s="50" t="s">
        <v>551</v>
      </c>
      <c r="C101" s="81">
        <v>400</v>
      </c>
      <c r="D101" s="81" t="s">
        <v>221</v>
      </c>
      <c r="E101" s="81" t="s">
        <v>376</v>
      </c>
      <c r="F101" s="81" t="s">
        <v>420</v>
      </c>
      <c r="G101" s="81" t="s">
        <v>548</v>
      </c>
      <c r="H101" s="65">
        <v>0</v>
      </c>
      <c r="I101" s="65">
        <f>[1]Школы!GV26</f>
        <v>30000</v>
      </c>
      <c r="J101" s="65">
        <v>0</v>
      </c>
    </row>
    <row r="102" spans="1:10" x14ac:dyDescent="0.2">
      <c r="A102" s="26"/>
      <c r="B102" s="50" t="s">
        <v>506</v>
      </c>
      <c r="C102" s="81">
        <v>400</v>
      </c>
      <c r="D102" s="81" t="s">
        <v>221</v>
      </c>
      <c r="E102" s="81" t="s">
        <v>376</v>
      </c>
      <c r="F102" s="81" t="s">
        <v>420</v>
      </c>
      <c r="G102" s="81" t="s">
        <v>548</v>
      </c>
      <c r="H102" s="65">
        <v>0</v>
      </c>
      <c r="I102" s="65">
        <f>[1]Школы!GV18</f>
        <v>40000</v>
      </c>
      <c r="J102" s="65">
        <v>0</v>
      </c>
    </row>
    <row r="103" spans="1:10" x14ac:dyDescent="0.2">
      <c r="A103" s="26"/>
      <c r="B103" s="172" t="s">
        <v>529</v>
      </c>
      <c r="C103" s="187">
        <v>400</v>
      </c>
      <c r="D103" s="187" t="s">
        <v>221</v>
      </c>
      <c r="E103" s="187" t="s">
        <v>376</v>
      </c>
      <c r="F103" s="187" t="s">
        <v>420</v>
      </c>
      <c r="G103" s="187" t="s">
        <v>548</v>
      </c>
      <c r="H103" s="42">
        <f>SUM(H98:H102)</f>
        <v>0</v>
      </c>
      <c r="I103" s="42">
        <f>SUM(I98:I102)</f>
        <v>110000</v>
      </c>
      <c r="J103" s="42">
        <f>SUM(J98:J102)</f>
        <v>0</v>
      </c>
    </row>
    <row r="104" spans="1:10" x14ac:dyDescent="0.2">
      <c r="A104" s="26"/>
      <c r="B104" s="50" t="s">
        <v>540</v>
      </c>
      <c r="C104" s="312">
        <v>992</v>
      </c>
      <c r="D104" s="81" t="s">
        <v>324</v>
      </c>
      <c r="E104" s="81" t="s">
        <v>485</v>
      </c>
      <c r="F104" s="65">
        <v>612</v>
      </c>
      <c r="G104" s="65">
        <v>241</v>
      </c>
      <c r="H104" s="43">
        <v>0</v>
      </c>
      <c r="I104" s="43">
        <f>'[1]МБУ внешк учрежд'!DN7</f>
        <v>0</v>
      </c>
      <c r="J104" s="43">
        <v>0</v>
      </c>
    </row>
    <row r="105" spans="1:10" x14ac:dyDescent="0.2">
      <c r="A105" s="26"/>
      <c r="B105" s="50" t="s">
        <v>515</v>
      </c>
      <c r="C105" s="312">
        <v>992</v>
      </c>
      <c r="D105" s="81" t="s">
        <v>324</v>
      </c>
      <c r="E105" s="81" t="s">
        <v>486</v>
      </c>
      <c r="F105" s="65">
        <v>612</v>
      </c>
      <c r="G105" s="65">
        <v>241</v>
      </c>
      <c r="H105" s="43">
        <v>0</v>
      </c>
      <c r="I105" s="43">
        <f>'[1]МБУ внешк учрежд'!DN9</f>
        <v>0</v>
      </c>
      <c r="J105" s="43">
        <v>0</v>
      </c>
    </row>
    <row r="106" spans="1:10" x14ac:dyDescent="0.2">
      <c r="A106" s="26"/>
      <c r="B106" s="50" t="s">
        <v>516</v>
      </c>
      <c r="C106" s="312">
        <v>992</v>
      </c>
      <c r="D106" s="81" t="s">
        <v>324</v>
      </c>
      <c r="E106" s="81" t="s">
        <v>482</v>
      </c>
      <c r="F106" s="65">
        <v>612</v>
      </c>
      <c r="G106" s="65">
        <v>241</v>
      </c>
      <c r="H106" s="43">
        <v>0</v>
      </c>
      <c r="I106" s="43">
        <f>'[1]МБУ внешк учрежд'!DN10</f>
        <v>0</v>
      </c>
      <c r="J106" s="43">
        <v>0</v>
      </c>
    </row>
    <row r="107" spans="1:10" x14ac:dyDescent="0.2">
      <c r="A107" s="26"/>
      <c r="B107" s="34" t="s">
        <v>542</v>
      </c>
      <c r="C107" s="187" t="s">
        <v>206</v>
      </c>
      <c r="D107" s="187" t="s">
        <v>324</v>
      </c>
      <c r="E107" s="187"/>
      <c r="F107" s="187" t="s">
        <v>480</v>
      </c>
      <c r="G107" s="187" t="s">
        <v>543</v>
      </c>
      <c r="H107" s="42">
        <f>SUM(H104:H106)</f>
        <v>0</v>
      </c>
      <c r="I107" s="42">
        <f>SUM(I104:I106)</f>
        <v>0</v>
      </c>
      <c r="J107" s="42">
        <f>SUM(J104:J106)</f>
        <v>0</v>
      </c>
    </row>
    <row r="108" spans="1:10" x14ac:dyDescent="0.2">
      <c r="A108" s="26"/>
      <c r="B108" s="34" t="s">
        <v>552</v>
      </c>
      <c r="C108" s="187"/>
      <c r="D108" s="187"/>
      <c r="E108" s="187"/>
      <c r="F108" s="187"/>
      <c r="G108" s="187"/>
      <c r="H108" s="42">
        <f>SUM(H103,H107)</f>
        <v>0</v>
      </c>
      <c r="I108" s="42">
        <f>SUM(I103,I107)</f>
        <v>110000</v>
      </c>
      <c r="J108" s="42">
        <f>SUM(J103,J107)</f>
        <v>0</v>
      </c>
    </row>
    <row r="109" spans="1:10" x14ac:dyDescent="0.2">
      <c r="B109" s="38"/>
      <c r="C109" s="248"/>
      <c r="D109" s="248"/>
      <c r="E109" s="248"/>
      <c r="F109" s="248"/>
      <c r="G109" s="248"/>
      <c r="H109" s="253"/>
      <c r="I109" s="253"/>
      <c r="J109" s="253"/>
    </row>
    <row r="110" spans="1:10" x14ac:dyDescent="0.2">
      <c r="A110" s="392" t="s">
        <v>553</v>
      </c>
      <c r="B110" s="392"/>
      <c r="C110" s="392"/>
      <c r="D110" s="392"/>
      <c r="E110" s="392"/>
      <c r="F110" s="392"/>
      <c r="G110" s="392"/>
      <c r="H110" s="392"/>
      <c r="I110" s="392"/>
      <c r="J110" s="392"/>
    </row>
    <row r="111" spans="1:10" x14ac:dyDescent="0.2">
      <c r="B111" s="38"/>
      <c r="C111" s="248"/>
      <c r="D111" s="248"/>
      <c r="E111" s="248"/>
      <c r="F111" s="248"/>
      <c r="G111" s="248"/>
      <c r="H111" s="253"/>
      <c r="I111" s="253"/>
      <c r="J111" s="253"/>
    </row>
    <row r="112" spans="1:10" x14ac:dyDescent="0.2">
      <c r="A112" s="26"/>
      <c r="B112" s="26" t="s">
        <v>419</v>
      </c>
      <c r="C112" s="81">
        <v>400</v>
      </c>
      <c r="D112" s="81" t="s">
        <v>221</v>
      </c>
      <c r="E112" s="81" t="s">
        <v>376</v>
      </c>
      <c r="F112" s="81" t="s">
        <v>420</v>
      </c>
      <c r="G112" s="81" t="s">
        <v>499</v>
      </c>
      <c r="H112" s="43">
        <v>3000</v>
      </c>
      <c r="I112" s="43">
        <v>3000</v>
      </c>
      <c r="J112" s="43">
        <v>3000</v>
      </c>
    </row>
    <row r="113" spans="1:10" x14ac:dyDescent="0.2">
      <c r="A113" s="26"/>
      <c r="B113" s="26" t="s">
        <v>422</v>
      </c>
      <c r="C113" s="81">
        <v>400</v>
      </c>
      <c r="D113" s="81" t="s">
        <v>221</v>
      </c>
      <c r="E113" s="81" t="s">
        <v>376</v>
      </c>
      <c r="F113" s="81" t="s">
        <v>420</v>
      </c>
      <c r="G113" s="81" t="s">
        <v>499</v>
      </c>
      <c r="H113" s="43">
        <v>3000</v>
      </c>
      <c r="I113" s="43">
        <v>3000</v>
      </c>
      <c r="J113" s="43">
        <v>3000</v>
      </c>
    </row>
    <row r="114" spans="1:10" x14ac:dyDescent="0.2">
      <c r="A114" s="26"/>
      <c r="B114" s="26" t="s">
        <v>423</v>
      </c>
      <c r="C114" s="81">
        <v>400</v>
      </c>
      <c r="D114" s="81" t="s">
        <v>221</v>
      </c>
      <c r="E114" s="81" t="s">
        <v>376</v>
      </c>
      <c r="F114" s="81" t="s">
        <v>420</v>
      </c>
      <c r="G114" s="81" t="s">
        <v>499</v>
      </c>
      <c r="H114" s="43">
        <v>3000</v>
      </c>
      <c r="I114" s="43">
        <v>3000</v>
      </c>
      <c r="J114" s="43">
        <v>3000</v>
      </c>
    </row>
    <row r="115" spans="1:10" x14ac:dyDescent="0.2">
      <c r="A115" s="26"/>
      <c r="B115" s="26" t="s">
        <v>424</v>
      </c>
      <c r="C115" s="81">
        <v>400</v>
      </c>
      <c r="D115" s="81" t="s">
        <v>221</v>
      </c>
      <c r="E115" s="81" t="s">
        <v>376</v>
      </c>
      <c r="F115" s="81" t="s">
        <v>420</v>
      </c>
      <c r="G115" s="81" t="s">
        <v>499</v>
      </c>
      <c r="H115" s="43">
        <v>3000</v>
      </c>
      <c r="I115" s="43">
        <v>3000</v>
      </c>
      <c r="J115" s="43">
        <v>3000</v>
      </c>
    </row>
    <row r="116" spans="1:10" x14ac:dyDescent="0.2">
      <c r="A116" s="26"/>
      <c r="B116" s="26" t="s">
        <v>425</v>
      </c>
      <c r="C116" s="81">
        <v>400</v>
      </c>
      <c r="D116" s="81" t="s">
        <v>221</v>
      </c>
      <c r="E116" s="81" t="s">
        <v>376</v>
      </c>
      <c r="F116" s="81" t="s">
        <v>420</v>
      </c>
      <c r="G116" s="81" t="s">
        <v>499</v>
      </c>
      <c r="H116" s="43">
        <v>3000</v>
      </c>
      <c r="I116" s="43">
        <v>3000</v>
      </c>
      <c r="J116" s="43">
        <v>3000</v>
      </c>
    </row>
    <row r="117" spans="1:10" x14ac:dyDescent="0.2">
      <c r="A117" s="26"/>
      <c r="B117" s="26" t="s">
        <v>426</v>
      </c>
      <c r="C117" s="81">
        <v>400</v>
      </c>
      <c r="D117" s="81" t="s">
        <v>221</v>
      </c>
      <c r="E117" s="81" t="s">
        <v>376</v>
      </c>
      <c r="F117" s="81" t="s">
        <v>420</v>
      </c>
      <c r="G117" s="81" t="s">
        <v>499</v>
      </c>
      <c r="H117" s="43">
        <v>3000</v>
      </c>
      <c r="I117" s="43">
        <v>3000</v>
      </c>
      <c r="J117" s="43">
        <v>3000</v>
      </c>
    </row>
    <row r="118" spans="1:10" x14ac:dyDescent="0.2">
      <c r="A118" s="26"/>
      <c r="B118" s="26" t="s">
        <v>427</v>
      </c>
      <c r="C118" s="81">
        <v>400</v>
      </c>
      <c r="D118" s="81" t="s">
        <v>221</v>
      </c>
      <c r="E118" s="81" t="s">
        <v>376</v>
      </c>
      <c r="F118" s="81" t="s">
        <v>420</v>
      </c>
      <c r="G118" s="81" t="s">
        <v>499</v>
      </c>
      <c r="H118" s="43">
        <v>3000</v>
      </c>
      <c r="I118" s="43">
        <v>3000</v>
      </c>
      <c r="J118" s="43">
        <v>3000</v>
      </c>
    </row>
    <row r="119" spans="1:10" x14ac:dyDescent="0.2">
      <c r="A119" s="26"/>
      <c r="B119" s="26" t="s">
        <v>428</v>
      </c>
      <c r="C119" s="81">
        <v>400</v>
      </c>
      <c r="D119" s="81" t="s">
        <v>221</v>
      </c>
      <c r="E119" s="81" t="s">
        <v>376</v>
      </c>
      <c r="F119" s="81" t="s">
        <v>420</v>
      </c>
      <c r="G119" s="81" t="s">
        <v>499</v>
      </c>
      <c r="H119" s="43">
        <v>3000</v>
      </c>
      <c r="I119" s="43">
        <v>3000</v>
      </c>
      <c r="J119" s="43">
        <v>3000</v>
      </c>
    </row>
    <row r="120" spans="1:10" x14ac:dyDescent="0.2">
      <c r="A120" s="26"/>
      <c r="B120" s="26" t="s">
        <v>430</v>
      </c>
      <c r="C120" s="81">
        <v>400</v>
      </c>
      <c r="D120" s="81" t="s">
        <v>221</v>
      </c>
      <c r="E120" s="81" t="s">
        <v>376</v>
      </c>
      <c r="F120" s="81" t="s">
        <v>420</v>
      </c>
      <c r="G120" s="81" t="s">
        <v>499</v>
      </c>
      <c r="H120" s="43">
        <v>3000</v>
      </c>
      <c r="I120" s="43">
        <v>3000</v>
      </c>
      <c r="J120" s="43">
        <v>3000</v>
      </c>
    </row>
    <row r="121" spans="1:10" x14ac:dyDescent="0.2">
      <c r="A121" s="26"/>
      <c r="B121" s="26" t="s">
        <v>431</v>
      </c>
      <c r="C121" s="81">
        <v>400</v>
      </c>
      <c r="D121" s="81" t="s">
        <v>221</v>
      </c>
      <c r="E121" s="81" t="s">
        <v>376</v>
      </c>
      <c r="F121" s="81" t="s">
        <v>420</v>
      </c>
      <c r="G121" s="81" t="s">
        <v>499</v>
      </c>
      <c r="H121" s="43">
        <v>3000</v>
      </c>
      <c r="I121" s="43">
        <v>3000</v>
      </c>
      <c r="J121" s="43">
        <v>3000</v>
      </c>
    </row>
    <row r="122" spans="1:10" x14ac:dyDescent="0.2">
      <c r="A122" s="26"/>
      <c r="B122" s="26" t="s">
        <v>432</v>
      </c>
      <c r="C122" s="81">
        <v>400</v>
      </c>
      <c r="D122" s="81" t="s">
        <v>221</v>
      </c>
      <c r="E122" s="81" t="s">
        <v>376</v>
      </c>
      <c r="F122" s="81" t="s">
        <v>420</v>
      </c>
      <c r="G122" s="81" t="s">
        <v>499</v>
      </c>
      <c r="H122" s="43">
        <v>3000</v>
      </c>
      <c r="I122" s="43">
        <v>3000</v>
      </c>
      <c r="J122" s="43">
        <v>3000</v>
      </c>
    </row>
    <row r="123" spans="1:10" x14ac:dyDescent="0.2">
      <c r="A123" s="26"/>
      <c r="B123" s="26" t="s">
        <v>433</v>
      </c>
      <c r="C123" s="81">
        <v>400</v>
      </c>
      <c r="D123" s="81" t="s">
        <v>221</v>
      </c>
      <c r="E123" s="81" t="s">
        <v>376</v>
      </c>
      <c r="F123" s="81" t="s">
        <v>420</v>
      </c>
      <c r="G123" s="81" t="s">
        <v>499</v>
      </c>
      <c r="H123" s="43">
        <v>3000</v>
      </c>
      <c r="I123" s="43">
        <v>3000</v>
      </c>
      <c r="J123" s="43">
        <v>3000</v>
      </c>
    </row>
    <row r="124" spans="1:10" x14ac:dyDescent="0.2">
      <c r="A124" s="26"/>
      <c r="B124" s="26" t="s">
        <v>520</v>
      </c>
      <c r="C124" s="81">
        <v>400</v>
      </c>
      <c r="D124" s="81" t="s">
        <v>221</v>
      </c>
      <c r="E124" s="81" t="s">
        <v>376</v>
      </c>
      <c r="F124" s="81" t="s">
        <v>420</v>
      </c>
      <c r="G124" s="81" t="s">
        <v>499</v>
      </c>
      <c r="H124" s="43">
        <v>3000</v>
      </c>
      <c r="I124" s="43">
        <v>3000</v>
      </c>
      <c r="J124" s="43">
        <v>3000</v>
      </c>
    </row>
    <row r="125" spans="1:10" x14ac:dyDescent="0.2">
      <c r="A125" s="26"/>
      <c r="B125" s="26" t="s">
        <v>554</v>
      </c>
      <c r="C125" s="81">
        <v>400</v>
      </c>
      <c r="D125" s="81" t="s">
        <v>221</v>
      </c>
      <c r="E125" s="81" t="s">
        <v>376</v>
      </c>
      <c r="F125" s="81" t="s">
        <v>420</v>
      </c>
      <c r="G125" s="81" t="s">
        <v>499</v>
      </c>
      <c r="H125" s="43">
        <v>3000</v>
      </c>
      <c r="I125" s="43">
        <v>3000</v>
      </c>
      <c r="J125" s="43">
        <v>3000</v>
      </c>
    </row>
    <row r="126" spans="1:10" x14ac:dyDescent="0.2">
      <c r="A126" s="26"/>
      <c r="B126" s="26" t="s">
        <v>522</v>
      </c>
      <c r="C126" s="81">
        <v>400</v>
      </c>
      <c r="D126" s="81" t="s">
        <v>221</v>
      </c>
      <c r="E126" s="81" t="s">
        <v>376</v>
      </c>
      <c r="F126" s="81" t="s">
        <v>420</v>
      </c>
      <c r="G126" s="81" t="s">
        <v>499</v>
      </c>
      <c r="H126" s="43">
        <v>3000</v>
      </c>
      <c r="I126" s="43">
        <v>3000</v>
      </c>
      <c r="J126" s="43">
        <v>3000</v>
      </c>
    </row>
    <row r="127" spans="1:10" x14ac:dyDescent="0.2">
      <c r="A127" s="26"/>
      <c r="B127" s="26" t="s">
        <v>523</v>
      </c>
      <c r="C127" s="81">
        <v>400</v>
      </c>
      <c r="D127" s="81" t="s">
        <v>221</v>
      </c>
      <c r="E127" s="81" t="s">
        <v>376</v>
      </c>
      <c r="F127" s="81" t="s">
        <v>420</v>
      </c>
      <c r="G127" s="81" t="s">
        <v>499</v>
      </c>
      <c r="H127" s="43">
        <v>3000</v>
      </c>
      <c r="I127" s="43">
        <v>3000</v>
      </c>
      <c r="J127" s="43">
        <v>3000</v>
      </c>
    </row>
    <row r="128" spans="1:10" x14ac:dyDescent="0.2">
      <c r="A128" s="26"/>
      <c r="B128" s="26" t="s">
        <v>524</v>
      </c>
      <c r="C128" s="81">
        <v>400</v>
      </c>
      <c r="D128" s="81" t="s">
        <v>221</v>
      </c>
      <c r="E128" s="81" t="s">
        <v>376</v>
      </c>
      <c r="F128" s="81" t="s">
        <v>420</v>
      </c>
      <c r="G128" s="81" t="s">
        <v>499</v>
      </c>
      <c r="H128" s="43">
        <v>3000</v>
      </c>
      <c r="I128" s="43">
        <v>3000</v>
      </c>
      <c r="J128" s="43">
        <v>3000</v>
      </c>
    </row>
    <row r="129" spans="1:10" x14ac:dyDescent="0.2">
      <c r="A129" s="26"/>
      <c r="B129" s="26" t="s">
        <v>525</v>
      </c>
      <c r="C129" s="81">
        <v>400</v>
      </c>
      <c r="D129" s="81" t="s">
        <v>221</v>
      </c>
      <c r="E129" s="81" t="s">
        <v>376</v>
      </c>
      <c r="F129" s="81" t="s">
        <v>420</v>
      </c>
      <c r="G129" s="81" t="s">
        <v>499</v>
      </c>
      <c r="H129" s="43">
        <v>3000</v>
      </c>
      <c r="I129" s="43">
        <v>3000</v>
      </c>
      <c r="J129" s="43">
        <v>3000</v>
      </c>
    </row>
    <row r="130" spans="1:10" x14ac:dyDescent="0.2">
      <c r="A130" s="26"/>
      <c r="B130" s="26" t="s">
        <v>527</v>
      </c>
      <c r="C130" s="81">
        <v>400</v>
      </c>
      <c r="D130" s="81" t="s">
        <v>221</v>
      </c>
      <c r="E130" s="81" t="s">
        <v>376</v>
      </c>
      <c r="F130" s="81" t="s">
        <v>420</v>
      </c>
      <c r="G130" s="81" t="s">
        <v>499</v>
      </c>
      <c r="H130" s="43">
        <v>3000</v>
      </c>
      <c r="I130" s="43">
        <v>3000</v>
      </c>
      <c r="J130" s="43">
        <v>3000</v>
      </c>
    </row>
    <row r="131" spans="1:10" x14ac:dyDescent="0.2">
      <c r="A131" s="26"/>
      <c r="B131" s="26" t="s">
        <v>442</v>
      </c>
      <c r="C131" s="81">
        <v>400</v>
      </c>
      <c r="D131" s="81" t="s">
        <v>221</v>
      </c>
      <c r="E131" s="81" t="s">
        <v>376</v>
      </c>
      <c r="F131" s="81" t="s">
        <v>420</v>
      </c>
      <c r="G131" s="81" t="s">
        <v>499</v>
      </c>
      <c r="H131" s="43">
        <v>3000</v>
      </c>
      <c r="I131" s="43">
        <v>3000</v>
      </c>
      <c r="J131" s="43">
        <v>3000</v>
      </c>
    </row>
    <row r="132" spans="1:10" x14ac:dyDescent="0.2">
      <c r="A132" s="26"/>
      <c r="B132" s="26" t="s">
        <v>443</v>
      </c>
      <c r="C132" s="81">
        <v>400</v>
      </c>
      <c r="D132" s="81" t="s">
        <v>221</v>
      </c>
      <c r="E132" s="81" t="s">
        <v>376</v>
      </c>
      <c r="F132" s="81" t="s">
        <v>420</v>
      </c>
      <c r="G132" s="81" t="s">
        <v>499</v>
      </c>
      <c r="H132" s="43">
        <v>3000</v>
      </c>
      <c r="I132" s="43">
        <v>3000</v>
      </c>
      <c r="J132" s="43">
        <v>3000</v>
      </c>
    </row>
    <row r="133" spans="1:10" x14ac:dyDescent="0.2">
      <c r="A133" s="26"/>
      <c r="B133" s="26" t="s">
        <v>444</v>
      </c>
      <c r="C133" s="81">
        <v>400</v>
      </c>
      <c r="D133" s="81" t="s">
        <v>221</v>
      </c>
      <c r="E133" s="81" t="s">
        <v>376</v>
      </c>
      <c r="F133" s="81" t="s">
        <v>420</v>
      </c>
      <c r="G133" s="81" t="s">
        <v>499</v>
      </c>
      <c r="H133" s="43">
        <v>3000</v>
      </c>
      <c r="I133" s="43">
        <v>3000</v>
      </c>
      <c r="J133" s="43">
        <v>3000</v>
      </c>
    </row>
    <row r="134" spans="1:10" x14ac:dyDescent="0.2">
      <c r="A134" s="26"/>
      <c r="B134" s="26" t="s">
        <v>528</v>
      </c>
      <c r="C134" s="81">
        <v>400</v>
      </c>
      <c r="D134" s="81" t="s">
        <v>221</v>
      </c>
      <c r="E134" s="81" t="s">
        <v>376</v>
      </c>
      <c r="F134" s="81" t="s">
        <v>420</v>
      </c>
      <c r="G134" s="81" t="s">
        <v>499</v>
      </c>
      <c r="H134" s="43">
        <v>3000</v>
      </c>
      <c r="I134" s="43">
        <v>3000</v>
      </c>
      <c r="J134" s="43">
        <v>3000</v>
      </c>
    </row>
    <row r="135" spans="1:10" x14ac:dyDescent="0.2">
      <c r="A135" s="26"/>
      <c r="B135" s="34" t="s">
        <v>529</v>
      </c>
      <c r="C135" s="309">
        <v>400</v>
      </c>
      <c r="D135" s="187" t="s">
        <v>221</v>
      </c>
      <c r="E135" s="187" t="s">
        <v>376</v>
      </c>
      <c r="F135" s="187" t="s">
        <v>420</v>
      </c>
      <c r="G135" s="187" t="s">
        <v>499</v>
      </c>
      <c r="H135" s="42">
        <f>SUM(H112:H134)</f>
        <v>69000</v>
      </c>
      <c r="I135" s="42">
        <f>SUM(I112:I134)</f>
        <v>69000</v>
      </c>
      <c r="J135" s="42">
        <f>SUM(J112:J134)</f>
        <v>69000</v>
      </c>
    </row>
    <row r="136" spans="1:10" ht="15" x14ac:dyDescent="0.2">
      <c r="A136" s="26"/>
      <c r="B136" s="151" t="s">
        <v>434</v>
      </c>
      <c r="C136" s="65">
        <v>400</v>
      </c>
      <c r="D136" s="81" t="s">
        <v>220</v>
      </c>
      <c r="E136" s="81" t="s">
        <v>377</v>
      </c>
      <c r="F136" s="81" t="s">
        <v>420</v>
      </c>
      <c r="G136" s="81" t="s">
        <v>499</v>
      </c>
      <c r="H136" s="65">
        <v>3000</v>
      </c>
      <c r="I136" s="43">
        <v>3000</v>
      </c>
      <c r="J136" s="65">
        <v>3000</v>
      </c>
    </row>
    <row r="137" spans="1:10" ht="15" x14ac:dyDescent="0.2">
      <c r="A137" s="26"/>
      <c r="B137" s="151" t="s">
        <v>435</v>
      </c>
      <c r="C137" s="65">
        <v>400</v>
      </c>
      <c r="D137" s="81" t="s">
        <v>220</v>
      </c>
      <c r="E137" s="81" t="s">
        <v>377</v>
      </c>
      <c r="F137" s="81" t="s">
        <v>420</v>
      </c>
      <c r="G137" s="81" t="s">
        <v>499</v>
      </c>
      <c r="H137" s="65">
        <v>3000</v>
      </c>
      <c r="I137" s="43">
        <v>3000</v>
      </c>
      <c r="J137" s="65">
        <v>3000</v>
      </c>
    </row>
    <row r="138" spans="1:10" ht="15" x14ac:dyDescent="0.2">
      <c r="A138" s="26"/>
      <c r="B138" s="151" t="s">
        <v>436</v>
      </c>
      <c r="C138" s="65">
        <v>400</v>
      </c>
      <c r="D138" s="81" t="s">
        <v>220</v>
      </c>
      <c r="E138" s="81" t="s">
        <v>377</v>
      </c>
      <c r="F138" s="81" t="s">
        <v>420</v>
      </c>
      <c r="G138" s="81" t="s">
        <v>499</v>
      </c>
      <c r="H138" s="65">
        <v>3000</v>
      </c>
      <c r="I138" s="43">
        <v>3000</v>
      </c>
      <c r="J138" s="65">
        <v>3000</v>
      </c>
    </row>
    <row r="139" spans="1:10" ht="15" x14ac:dyDescent="0.2">
      <c r="A139" s="26"/>
      <c r="B139" s="151" t="s">
        <v>530</v>
      </c>
      <c r="C139" s="65">
        <v>400</v>
      </c>
      <c r="D139" s="81" t="s">
        <v>220</v>
      </c>
      <c r="E139" s="81" t="s">
        <v>377</v>
      </c>
      <c r="F139" s="81" t="s">
        <v>420</v>
      </c>
      <c r="G139" s="81" t="s">
        <v>499</v>
      </c>
      <c r="H139" s="65">
        <v>3000</v>
      </c>
      <c r="I139" s="43">
        <v>3000</v>
      </c>
      <c r="J139" s="65">
        <v>3000</v>
      </c>
    </row>
    <row r="140" spans="1:10" ht="15" x14ac:dyDescent="0.2">
      <c r="A140" s="26"/>
      <c r="B140" s="151" t="s">
        <v>445</v>
      </c>
      <c r="C140" s="65">
        <v>400</v>
      </c>
      <c r="D140" s="81" t="s">
        <v>220</v>
      </c>
      <c r="E140" s="81" t="s">
        <v>377</v>
      </c>
      <c r="F140" s="81" t="s">
        <v>420</v>
      </c>
      <c r="G140" s="81" t="s">
        <v>499</v>
      </c>
      <c r="H140" s="65">
        <v>3000</v>
      </c>
      <c r="I140" s="43">
        <v>3000</v>
      </c>
      <c r="J140" s="65">
        <v>3000</v>
      </c>
    </row>
    <row r="141" spans="1:10" ht="15" x14ac:dyDescent="0.2">
      <c r="A141" s="26"/>
      <c r="B141" s="151" t="s">
        <v>531</v>
      </c>
      <c r="C141" s="65">
        <v>400</v>
      </c>
      <c r="D141" s="81" t="s">
        <v>220</v>
      </c>
      <c r="E141" s="81" t="s">
        <v>377</v>
      </c>
      <c r="F141" s="81" t="s">
        <v>420</v>
      </c>
      <c r="G141" s="81" t="s">
        <v>499</v>
      </c>
      <c r="H141" s="65">
        <v>3000</v>
      </c>
      <c r="I141" s="43">
        <v>3000</v>
      </c>
      <c r="J141" s="65">
        <v>3000</v>
      </c>
    </row>
    <row r="142" spans="1:10" ht="15" x14ac:dyDescent="0.2">
      <c r="A142" s="26"/>
      <c r="B142" s="151" t="s">
        <v>417</v>
      </c>
      <c r="C142" s="65">
        <v>400</v>
      </c>
      <c r="D142" s="81" t="s">
        <v>220</v>
      </c>
      <c r="E142" s="81" t="s">
        <v>377</v>
      </c>
      <c r="F142" s="81" t="s">
        <v>420</v>
      </c>
      <c r="G142" s="81" t="s">
        <v>499</v>
      </c>
      <c r="H142" s="65">
        <v>3000</v>
      </c>
      <c r="I142" s="43">
        <v>3000</v>
      </c>
      <c r="J142" s="65">
        <v>3000</v>
      </c>
    </row>
    <row r="143" spans="1:10" ht="15" x14ac:dyDescent="0.2">
      <c r="A143" s="26"/>
      <c r="B143" s="151" t="s">
        <v>532</v>
      </c>
      <c r="C143" s="65">
        <v>400</v>
      </c>
      <c r="D143" s="81" t="s">
        <v>220</v>
      </c>
      <c r="E143" s="81" t="s">
        <v>377</v>
      </c>
      <c r="F143" s="81" t="s">
        <v>420</v>
      </c>
      <c r="G143" s="81" t="s">
        <v>499</v>
      </c>
      <c r="H143" s="65">
        <v>3000</v>
      </c>
      <c r="I143" s="43">
        <v>3000</v>
      </c>
      <c r="J143" s="65">
        <v>3000</v>
      </c>
    </row>
    <row r="144" spans="1:10" ht="15" x14ac:dyDescent="0.2">
      <c r="A144" s="26"/>
      <c r="B144" s="151" t="s">
        <v>437</v>
      </c>
      <c r="C144" s="65">
        <v>400</v>
      </c>
      <c r="D144" s="81" t="s">
        <v>220</v>
      </c>
      <c r="E144" s="81" t="s">
        <v>377</v>
      </c>
      <c r="F144" s="81" t="s">
        <v>420</v>
      </c>
      <c r="G144" s="81" t="s">
        <v>499</v>
      </c>
      <c r="H144" s="65">
        <v>3000</v>
      </c>
      <c r="I144" s="43">
        <v>3000</v>
      </c>
      <c r="J144" s="65">
        <v>3000</v>
      </c>
    </row>
    <row r="145" spans="1:10" ht="15" x14ac:dyDescent="0.2">
      <c r="A145" s="26"/>
      <c r="B145" s="151" t="s">
        <v>533</v>
      </c>
      <c r="C145" s="65">
        <v>400</v>
      </c>
      <c r="D145" s="81" t="s">
        <v>220</v>
      </c>
      <c r="E145" s="81" t="s">
        <v>377</v>
      </c>
      <c r="F145" s="81" t="s">
        <v>420</v>
      </c>
      <c r="G145" s="81" t="s">
        <v>499</v>
      </c>
      <c r="H145" s="65">
        <v>3000</v>
      </c>
      <c r="I145" s="43">
        <v>3000</v>
      </c>
      <c r="J145" s="65">
        <v>3000</v>
      </c>
    </row>
    <row r="146" spans="1:10" ht="15" x14ac:dyDescent="0.2">
      <c r="A146" s="26"/>
      <c r="B146" s="151" t="s">
        <v>438</v>
      </c>
      <c r="C146" s="65">
        <v>400</v>
      </c>
      <c r="D146" s="81" t="s">
        <v>220</v>
      </c>
      <c r="E146" s="81" t="s">
        <v>377</v>
      </c>
      <c r="F146" s="81" t="s">
        <v>420</v>
      </c>
      <c r="G146" s="81" t="s">
        <v>499</v>
      </c>
      <c r="H146" s="65">
        <v>3000</v>
      </c>
      <c r="I146" s="43">
        <v>3000</v>
      </c>
      <c r="J146" s="65">
        <v>3000</v>
      </c>
    </row>
    <row r="147" spans="1:10" ht="15" x14ac:dyDescent="0.2">
      <c r="A147" s="26"/>
      <c r="B147" s="151" t="s">
        <v>534</v>
      </c>
      <c r="C147" s="65">
        <v>400</v>
      </c>
      <c r="D147" s="81" t="s">
        <v>220</v>
      </c>
      <c r="E147" s="81" t="s">
        <v>377</v>
      </c>
      <c r="F147" s="81" t="s">
        <v>420</v>
      </c>
      <c r="G147" s="81" t="s">
        <v>499</v>
      </c>
      <c r="H147" s="65">
        <v>3000</v>
      </c>
      <c r="I147" s="43">
        <v>3000</v>
      </c>
      <c r="J147" s="65">
        <v>3000</v>
      </c>
    </row>
    <row r="148" spans="1:10" ht="15" x14ac:dyDescent="0.2">
      <c r="A148" s="26"/>
      <c r="B148" s="151" t="s">
        <v>439</v>
      </c>
      <c r="C148" s="65">
        <v>400</v>
      </c>
      <c r="D148" s="81" t="s">
        <v>220</v>
      </c>
      <c r="E148" s="81" t="s">
        <v>377</v>
      </c>
      <c r="F148" s="81" t="s">
        <v>420</v>
      </c>
      <c r="G148" s="81" t="s">
        <v>499</v>
      </c>
      <c r="H148" s="65">
        <v>3000</v>
      </c>
      <c r="I148" s="43">
        <v>3000</v>
      </c>
      <c r="J148" s="65">
        <v>3000</v>
      </c>
    </row>
    <row r="149" spans="1:10" ht="15" x14ac:dyDescent="0.2">
      <c r="A149" s="26"/>
      <c r="B149" s="151" t="s">
        <v>440</v>
      </c>
      <c r="C149" s="65">
        <v>400</v>
      </c>
      <c r="D149" s="81" t="s">
        <v>220</v>
      </c>
      <c r="E149" s="81" t="s">
        <v>377</v>
      </c>
      <c r="F149" s="81" t="s">
        <v>420</v>
      </c>
      <c r="G149" s="81" t="s">
        <v>499</v>
      </c>
      <c r="H149" s="65">
        <v>3000</v>
      </c>
      <c r="I149" s="43">
        <v>3000</v>
      </c>
      <c r="J149" s="65">
        <v>3000</v>
      </c>
    </row>
    <row r="150" spans="1:10" ht="15" x14ac:dyDescent="0.2">
      <c r="A150" s="26"/>
      <c r="B150" s="151" t="s">
        <v>418</v>
      </c>
      <c r="C150" s="65">
        <v>400</v>
      </c>
      <c r="D150" s="81" t="s">
        <v>220</v>
      </c>
      <c r="E150" s="81" t="s">
        <v>377</v>
      </c>
      <c r="F150" s="81" t="s">
        <v>420</v>
      </c>
      <c r="G150" s="81" t="s">
        <v>499</v>
      </c>
      <c r="H150" s="65">
        <v>3000</v>
      </c>
      <c r="I150" s="43">
        <v>3000</v>
      </c>
      <c r="J150" s="65">
        <v>3000</v>
      </c>
    </row>
    <row r="151" spans="1:10" ht="15" customHeight="1" x14ac:dyDescent="0.2">
      <c r="A151" s="26"/>
      <c r="B151" s="151" t="s">
        <v>535</v>
      </c>
      <c r="C151" s="65">
        <v>400</v>
      </c>
      <c r="D151" s="81" t="s">
        <v>220</v>
      </c>
      <c r="E151" s="81" t="s">
        <v>377</v>
      </c>
      <c r="F151" s="81" t="s">
        <v>420</v>
      </c>
      <c r="G151" s="81" t="s">
        <v>499</v>
      </c>
      <c r="H151" s="65">
        <v>3000</v>
      </c>
      <c r="I151" s="43">
        <v>3000</v>
      </c>
      <c r="J151" s="65">
        <v>3000</v>
      </c>
    </row>
    <row r="152" spans="1:10" ht="14.25" x14ac:dyDescent="0.2">
      <c r="A152" s="26"/>
      <c r="B152" s="245" t="s">
        <v>536</v>
      </c>
      <c r="C152" s="309">
        <v>400</v>
      </c>
      <c r="D152" s="187" t="s">
        <v>220</v>
      </c>
      <c r="E152" s="187" t="s">
        <v>377</v>
      </c>
      <c r="F152" s="187" t="s">
        <v>420</v>
      </c>
      <c r="G152" s="187" t="s">
        <v>499</v>
      </c>
      <c r="H152" s="42">
        <f>SUM(H136:H151)</f>
        <v>48000</v>
      </c>
      <c r="I152" s="42">
        <f>SUM(I136:I151)</f>
        <v>48000</v>
      </c>
      <c r="J152" s="42">
        <f>SUM(J136:J151)</f>
        <v>48000</v>
      </c>
    </row>
    <row r="153" spans="1:10" ht="15" x14ac:dyDescent="0.2">
      <c r="A153" s="26"/>
      <c r="B153" s="151" t="s">
        <v>539</v>
      </c>
      <c r="C153" s="312">
        <v>992</v>
      </c>
      <c r="D153" s="81" t="s">
        <v>324</v>
      </c>
      <c r="E153" s="81" t="s">
        <v>483</v>
      </c>
      <c r="F153" s="65">
        <v>611</v>
      </c>
      <c r="G153" s="65">
        <v>241</v>
      </c>
      <c r="H153" s="43">
        <v>3000</v>
      </c>
      <c r="I153" s="43">
        <f>'[1]МБУ внешк учрежд'!DF6</f>
        <v>3000</v>
      </c>
      <c r="J153" s="43">
        <v>3000</v>
      </c>
    </row>
    <row r="154" spans="1:10" ht="15" x14ac:dyDescent="0.2">
      <c r="A154" s="26"/>
      <c r="B154" s="151" t="s">
        <v>540</v>
      </c>
      <c r="C154" s="312">
        <v>992</v>
      </c>
      <c r="D154" s="81" t="s">
        <v>324</v>
      </c>
      <c r="E154" s="81" t="s">
        <v>485</v>
      </c>
      <c r="F154" s="65">
        <v>611</v>
      </c>
      <c r="G154" s="65">
        <v>241</v>
      </c>
      <c r="H154" s="43">
        <v>3000</v>
      </c>
      <c r="I154" s="43">
        <f>'[1]МБУ внешк учрежд'!DF7</f>
        <v>3000</v>
      </c>
      <c r="J154" s="43">
        <v>3000</v>
      </c>
    </row>
    <row r="155" spans="1:10" ht="15" x14ac:dyDescent="0.2">
      <c r="A155" s="26"/>
      <c r="B155" s="151" t="s">
        <v>541</v>
      </c>
      <c r="C155" s="312">
        <v>992</v>
      </c>
      <c r="D155" s="81" t="s">
        <v>324</v>
      </c>
      <c r="E155" s="81" t="s">
        <v>484</v>
      </c>
      <c r="F155" s="65">
        <v>611</v>
      </c>
      <c r="G155" s="65">
        <v>241</v>
      </c>
      <c r="H155" s="43">
        <v>3000</v>
      </c>
      <c r="I155" s="43">
        <f>'[1]МБУ внешк учрежд'!DF8</f>
        <v>3000</v>
      </c>
      <c r="J155" s="43">
        <v>3000</v>
      </c>
    </row>
    <row r="156" spans="1:10" ht="15" x14ac:dyDescent="0.2">
      <c r="A156" s="26"/>
      <c r="B156" s="151" t="s">
        <v>515</v>
      </c>
      <c r="C156" s="312">
        <v>992</v>
      </c>
      <c r="D156" s="81" t="s">
        <v>324</v>
      </c>
      <c r="E156" s="81" t="s">
        <v>486</v>
      </c>
      <c r="F156" s="65">
        <v>611</v>
      </c>
      <c r="G156" s="65">
        <v>241</v>
      </c>
      <c r="H156" s="43">
        <v>3000</v>
      </c>
      <c r="I156" s="43">
        <f>'[1]МБУ внешк учрежд'!DF9</f>
        <v>3000</v>
      </c>
      <c r="J156" s="43">
        <v>3000</v>
      </c>
    </row>
    <row r="157" spans="1:10" ht="15" x14ac:dyDescent="0.2">
      <c r="A157" s="26"/>
      <c r="B157" s="151" t="s">
        <v>516</v>
      </c>
      <c r="C157" s="312">
        <v>992</v>
      </c>
      <c r="D157" s="81" t="s">
        <v>324</v>
      </c>
      <c r="E157" s="81" t="s">
        <v>482</v>
      </c>
      <c r="F157" s="65">
        <v>611</v>
      </c>
      <c r="G157" s="65">
        <v>241</v>
      </c>
      <c r="H157" s="43">
        <v>3000</v>
      </c>
      <c r="I157" s="43">
        <f>'[1]МБУ внешк учрежд'!DF10</f>
        <v>3000</v>
      </c>
      <c r="J157" s="43">
        <v>3000</v>
      </c>
    </row>
    <row r="158" spans="1:10" x14ac:dyDescent="0.2">
      <c r="A158" s="26"/>
      <c r="B158" s="34" t="s">
        <v>542</v>
      </c>
      <c r="C158" s="187" t="s">
        <v>206</v>
      </c>
      <c r="D158" s="187" t="s">
        <v>324</v>
      </c>
      <c r="E158" s="187"/>
      <c r="F158" s="187" t="s">
        <v>479</v>
      </c>
      <c r="G158" s="187" t="s">
        <v>543</v>
      </c>
      <c r="H158" s="42">
        <f>SUM(H153:H157)</f>
        <v>15000</v>
      </c>
      <c r="I158" s="42">
        <f>SUM(I153:I157)</f>
        <v>15000</v>
      </c>
      <c r="J158" s="42">
        <f>SUM(J153:J157)</f>
        <v>15000</v>
      </c>
    </row>
    <row r="159" spans="1:10" x14ac:dyDescent="0.2">
      <c r="A159" s="26"/>
      <c r="B159" s="34" t="s">
        <v>555</v>
      </c>
      <c r="C159" s="230"/>
      <c r="D159" s="230"/>
      <c r="E159" s="230"/>
      <c r="F159" s="230"/>
      <c r="G159" s="230"/>
      <c r="H159" s="53">
        <f>SUM(H135,H152,H158)</f>
        <v>132000</v>
      </c>
      <c r="I159" s="53">
        <f>SUM(I135,I152,I158)</f>
        <v>132000</v>
      </c>
      <c r="J159" s="53">
        <f>SUM(J135,J152,J158)</f>
        <v>132000</v>
      </c>
    </row>
    <row r="160" spans="1:10" x14ac:dyDescent="0.2">
      <c r="C160" s="231"/>
      <c r="D160" s="231"/>
      <c r="E160" s="231"/>
      <c r="F160" s="231"/>
      <c r="G160" s="231"/>
      <c r="H160" s="51"/>
    </row>
    <row r="161" spans="1:10" x14ac:dyDescent="0.2">
      <c r="B161" s="392" t="s">
        <v>557</v>
      </c>
      <c r="C161" s="392"/>
      <c r="D161" s="392"/>
      <c r="E161" s="392"/>
      <c r="F161" s="392"/>
      <c r="G161" s="392"/>
      <c r="H161" s="392"/>
      <c r="I161" s="392"/>
      <c r="J161" s="392"/>
    </row>
    <row r="162" spans="1:10" x14ac:dyDescent="0.2">
      <c r="C162" s="231"/>
      <c r="D162" s="231"/>
      <c r="E162" s="231"/>
      <c r="F162" s="231"/>
      <c r="G162" s="231"/>
      <c r="H162" s="51"/>
    </row>
    <row r="163" spans="1:10" x14ac:dyDescent="0.2">
      <c r="A163" s="26"/>
      <c r="B163" s="26" t="s">
        <v>441</v>
      </c>
      <c r="C163" s="81" t="s">
        <v>197</v>
      </c>
      <c r="D163" s="81" t="s">
        <v>472</v>
      </c>
      <c r="E163" s="81" t="s">
        <v>475</v>
      </c>
      <c r="F163" s="81" t="s">
        <v>420</v>
      </c>
      <c r="G163" s="81" t="s">
        <v>548</v>
      </c>
      <c r="H163" s="43">
        <v>20000</v>
      </c>
      <c r="I163" s="43">
        <f>[1]Администрация!CZ8</f>
        <v>0</v>
      </c>
      <c r="J163" s="65">
        <v>30000</v>
      </c>
    </row>
    <row r="164" spans="1:10" x14ac:dyDescent="0.2">
      <c r="A164" s="26"/>
      <c r="B164" s="34" t="s">
        <v>556</v>
      </c>
      <c r="C164" s="187" t="s">
        <v>197</v>
      </c>
      <c r="D164" s="187" t="s">
        <v>472</v>
      </c>
      <c r="E164" s="187" t="s">
        <v>475</v>
      </c>
      <c r="F164" s="187" t="s">
        <v>420</v>
      </c>
      <c r="G164" s="187" t="s">
        <v>548</v>
      </c>
      <c r="H164" s="42">
        <f>H163</f>
        <v>20000</v>
      </c>
      <c r="I164" s="42">
        <f>I163</f>
        <v>0</v>
      </c>
      <c r="J164" s="42">
        <f>J163</f>
        <v>30000</v>
      </c>
    </row>
    <row r="165" spans="1:10" x14ac:dyDescent="0.2">
      <c r="C165" s="249"/>
      <c r="D165" s="249"/>
      <c r="E165" s="249"/>
      <c r="F165" s="249"/>
      <c r="G165" s="249"/>
      <c r="H165" s="47"/>
      <c r="I165" s="47"/>
      <c r="J165" s="47"/>
    </row>
    <row r="166" spans="1:10" x14ac:dyDescent="0.2">
      <c r="A166" s="392" t="s">
        <v>559</v>
      </c>
      <c r="B166" s="392"/>
      <c r="C166" s="392"/>
      <c r="D166" s="392"/>
      <c r="E166" s="392"/>
      <c r="F166" s="392"/>
      <c r="G166" s="392"/>
      <c r="H166" s="392"/>
      <c r="I166" s="392"/>
      <c r="J166" s="392"/>
    </row>
    <row r="167" spans="1:10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</row>
    <row r="168" spans="1:10" x14ac:dyDescent="0.2">
      <c r="A168" s="26"/>
      <c r="B168" s="26" t="s">
        <v>441</v>
      </c>
      <c r="C168" s="81" t="s">
        <v>197</v>
      </c>
      <c r="D168" s="81" t="s">
        <v>472</v>
      </c>
      <c r="E168" s="81" t="s">
        <v>475</v>
      </c>
      <c r="F168" s="81" t="s">
        <v>420</v>
      </c>
      <c r="G168" s="81" t="s">
        <v>498</v>
      </c>
      <c r="H168" s="43">
        <v>80000</v>
      </c>
      <c r="I168" s="43">
        <f>[1]Администрация!DS8</f>
        <v>0</v>
      </c>
      <c r="J168" s="65">
        <v>200000</v>
      </c>
    </row>
    <row r="169" spans="1:10" x14ac:dyDescent="0.2">
      <c r="A169" s="26"/>
      <c r="B169" s="34" t="s">
        <v>558</v>
      </c>
      <c r="C169" s="187" t="s">
        <v>197</v>
      </c>
      <c r="D169" s="187" t="s">
        <v>472</v>
      </c>
      <c r="E169" s="187" t="s">
        <v>475</v>
      </c>
      <c r="F169" s="187" t="s">
        <v>420</v>
      </c>
      <c r="G169" s="187" t="s">
        <v>498</v>
      </c>
      <c r="H169" s="42">
        <f>H168</f>
        <v>80000</v>
      </c>
      <c r="I169" s="42">
        <f>I168</f>
        <v>0</v>
      </c>
      <c r="J169" s="42">
        <f>J168</f>
        <v>200000</v>
      </c>
    </row>
    <row r="170" spans="1:10" x14ac:dyDescent="0.2">
      <c r="C170" s="231"/>
      <c r="D170" s="231"/>
      <c r="E170" s="231"/>
      <c r="F170" s="231"/>
      <c r="G170" s="231"/>
      <c r="H170" s="51"/>
    </row>
    <row r="171" spans="1:10" x14ac:dyDescent="0.2">
      <c r="A171" s="392" t="s">
        <v>560</v>
      </c>
      <c r="B171" s="392"/>
      <c r="C171" s="392"/>
      <c r="D171" s="392"/>
      <c r="E171" s="392"/>
      <c r="F171" s="392"/>
      <c r="G171" s="392"/>
      <c r="H171" s="392"/>
    </row>
    <row r="172" spans="1:10" x14ac:dyDescent="0.2">
      <c r="A172" s="41"/>
      <c r="B172" s="41"/>
      <c r="C172" s="41"/>
      <c r="D172" s="41"/>
      <c r="E172" s="41"/>
      <c r="F172" s="41"/>
      <c r="G172" s="41"/>
      <c r="H172" s="41"/>
    </row>
    <row r="173" spans="1:10" x14ac:dyDescent="0.2">
      <c r="A173" s="41"/>
      <c r="B173" s="26" t="s">
        <v>561</v>
      </c>
      <c r="C173" s="81">
        <v>400</v>
      </c>
      <c r="D173" s="81" t="s">
        <v>221</v>
      </c>
      <c r="E173" s="81" t="s">
        <v>376</v>
      </c>
      <c r="F173" s="81" t="s">
        <v>420</v>
      </c>
      <c r="G173" s="81" t="s">
        <v>421</v>
      </c>
      <c r="H173" s="43">
        <v>0</v>
      </c>
      <c r="I173" s="43">
        <f>[1]Школы!FW12</f>
        <v>0</v>
      </c>
      <c r="J173" s="43">
        <v>0</v>
      </c>
    </row>
    <row r="174" spans="1:10" x14ac:dyDescent="0.2">
      <c r="A174" s="41"/>
      <c r="B174" s="26" t="s">
        <v>562</v>
      </c>
      <c r="C174" s="81">
        <v>400</v>
      </c>
      <c r="D174" s="81" t="s">
        <v>221</v>
      </c>
      <c r="E174" s="81" t="s">
        <v>376</v>
      </c>
      <c r="F174" s="81" t="s">
        <v>420</v>
      </c>
      <c r="G174" s="81" t="s">
        <v>421</v>
      </c>
      <c r="H174" s="43">
        <v>0</v>
      </c>
      <c r="I174" s="43">
        <f>[1]Школы!FW11</f>
        <v>47000</v>
      </c>
      <c r="J174" s="43">
        <v>15000</v>
      </c>
    </row>
    <row r="175" spans="1:10" x14ac:dyDescent="0.2">
      <c r="A175" s="41"/>
      <c r="B175" s="26" t="s">
        <v>563</v>
      </c>
      <c r="C175" s="81">
        <v>400</v>
      </c>
      <c r="D175" s="81" t="s">
        <v>221</v>
      </c>
      <c r="E175" s="81" t="s">
        <v>376</v>
      </c>
      <c r="F175" s="81" t="s">
        <v>420</v>
      </c>
      <c r="G175" s="81" t="s">
        <v>421</v>
      </c>
      <c r="H175" s="43">
        <v>0</v>
      </c>
      <c r="I175" s="43">
        <f>[1]Школы!FW11</f>
        <v>47000</v>
      </c>
      <c r="J175" s="43">
        <v>16500</v>
      </c>
    </row>
    <row r="176" spans="1:10" x14ac:dyDescent="0.2">
      <c r="A176" s="41"/>
      <c r="B176" s="26" t="s">
        <v>564</v>
      </c>
      <c r="C176" s="81">
        <v>400</v>
      </c>
      <c r="D176" s="81" t="s">
        <v>221</v>
      </c>
      <c r="E176" s="81" t="s">
        <v>376</v>
      </c>
      <c r="F176" s="81" t="s">
        <v>420</v>
      </c>
      <c r="G176" s="81" t="s">
        <v>421</v>
      </c>
      <c r="H176" s="43">
        <v>0</v>
      </c>
      <c r="I176" s="43">
        <v>0</v>
      </c>
      <c r="J176" s="43">
        <v>15500</v>
      </c>
    </row>
    <row r="177" spans="1:10" x14ac:dyDescent="0.2">
      <c r="A177" s="41"/>
      <c r="B177" s="26" t="s">
        <v>423</v>
      </c>
      <c r="C177" s="81">
        <v>400</v>
      </c>
      <c r="D177" s="81" t="s">
        <v>221</v>
      </c>
      <c r="E177" s="81" t="s">
        <v>376</v>
      </c>
      <c r="F177" s="81" t="s">
        <v>420</v>
      </c>
      <c r="G177" s="81" t="s">
        <v>421</v>
      </c>
      <c r="H177" s="43">
        <v>0</v>
      </c>
      <c r="I177" s="43">
        <v>0</v>
      </c>
      <c r="J177" s="43">
        <v>24500</v>
      </c>
    </row>
    <row r="178" spans="1:10" x14ac:dyDescent="0.2">
      <c r="A178" s="41"/>
      <c r="B178" s="26" t="s">
        <v>427</v>
      </c>
      <c r="C178" s="81">
        <v>400</v>
      </c>
      <c r="D178" s="81" t="s">
        <v>221</v>
      </c>
      <c r="E178" s="81" t="s">
        <v>376</v>
      </c>
      <c r="F178" s="81" t="s">
        <v>420</v>
      </c>
      <c r="G178" s="81" t="s">
        <v>421</v>
      </c>
      <c r="H178" s="43">
        <v>0</v>
      </c>
      <c r="I178" s="43">
        <f>[1]Школы!FW21</f>
        <v>0</v>
      </c>
      <c r="J178" s="43">
        <v>0</v>
      </c>
    </row>
    <row r="179" spans="1:10" x14ac:dyDescent="0.2">
      <c r="A179" s="41"/>
      <c r="B179" s="26" t="s">
        <v>442</v>
      </c>
      <c r="C179" s="81">
        <v>400</v>
      </c>
      <c r="D179" s="81" t="s">
        <v>221</v>
      </c>
      <c r="E179" s="81" t="s">
        <v>376</v>
      </c>
      <c r="F179" s="81" t="s">
        <v>420</v>
      </c>
      <c r="G179" s="81" t="s">
        <v>421</v>
      </c>
      <c r="H179" s="43">
        <v>0</v>
      </c>
      <c r="I179" s="43">
        <f>[1]Школы!FW34</f>
        <v>16000</v>
      </c>
      <c r="J179" s="43">
        <v>16000</v>
      </c>
    </row>
    <row r="180" spans="1:10" x14ac:dyDescent="0.2">
      <c r="A180" s="41"/>
      <c r="B180" s="26" t="s">
        <v>444</v>
      </c>
      <c r="C180" s="81">
        <v>400</v>
      </c>
      <c r="D180" s="81" t="s">
        <v>221</v>
      </c>
      <c r="E180" s="81" t="s">
        <v>376</v>
      </c>
      <c r="F180" s="81" t="s">
        <v>420</v>
      </c>
      <c r="G180" s="81" t="s">
        <v>421</v>
      </c>
      <c r="H180" s="43">
        <v>0</v>
      </c>
      <c r="I180" s="43">
        <f>[1]Школы!FW32</f>
        <v>4000</v>
      </c>
      <c r="J180" s="43">
        <v>4000</v>
      </c>
    </row>
    <row r="181" spans="1:10" x14ac:dyDescent="0.2">
      <c r="A181" s="41"/>
      <c r="B181" s="50" t="s">
        <v>537</v>
      </c>
      <c r="C181" s="81">
        <v>400</v>
      </c>
      <c r="D181" s="81" t="s">
        <v>221</v>
      </c>
      <c r="E181" s="81" t="s">
        <v>376</v>
      </c>
      <c r="F181" s="81" t="s">
        <v>420</v>
      </c>
      <c r="G181" s="81" t="s">
        <v>421</v>
      </c>
      <c r="H181" s="65">
        <v>0</v>
      </c>
      <c r="I181" s="65">
        <f>[1]Школы!FW37</f>
        <v>0</v>
      </c>
      <c r="J181" s="26">
        <v>0</v>
      </c>
    </row>
    <row r="182" spans="1:10" x14ac:dyDescent="0.2">
      <c r="A182" s="41"/>
      <c r="B182" s="172" t="s">
        <v>529</v>
      </c>
      <c r="C182" s="187">
        <v>400</v>
      </c>
      <c r="D182" s="187" t="s">
        <v>221</v>
      </c>
      <c r="E182" s="187" t="s">
        <v>376</v>
      </c>
      <c r="F182" s="187" t="s">
        <v>420</v>
      </c>
      <c r="G182" s="187" t="s">
        <v>421</v>
      </c>
      <c r="H182" s="42">
        <f>SUM(H173:H181)</f>
        <v>0</v>
      </c>
      <c r="I182" s="42">
        <f>SUM(I173:I181)</f>
        <v>114000</v>
      </c>
      <c r="J182" s="42">
        <f>SUM(J173:J181)</f>
        <v>91500</v>
      </c>
    </row>
    <row r="183" spans="1:10" ht="15" x14ac:dyDescent="0.2">
      <c r="A183" s="41"/>
      <c r="B183" s="151" t="s">
        <v>434</v>
      </c>
      <c r="C183" s="65">
        <v>400</v>
      </c>
      <c r="D183" s="81" t="s">
        <v>220</v>
      </c>
      <c r="E183" s="81" t="s">
        <v>377</v>
      </c>
      <c r="F183" s="81" t="s">
        <v>420</v>
      </c>
      <c r="G183" s="81" t="s">
        <v>421</v>
      </c>
      <c r="H183" s="65">
        <v>20600</v>
      </c>
      <c r="I183" s="65">
        <v>0</v>
      </c>
      <c r="J183" s="65">
        <v>0</v>
      </c>
    </row>
    <row r="184" spans="1:10" ht="15" x14ac:dyDescent="0.2">
      <c r="A184" s="41"/>
      <c r="B184" s="151" t="s">
        <v>435</v>
      </c>
      <c r="C184" s="65">
        <v>400</v>
      </c>
      <c r="D184" s="81" t="s">
        <v>220</v>
      </c>
      <c r="E184" s="81" t="s">
        <v>377</v>
      </c>
      <c r="F184" s="81" t="s">
        <v>420</v>
      </c>
      <c r="G184" s="81" t="s">
        <v>421</v>
      </c>
      <c r="H184" s="65">
        <v>21000</v>
      </c>
      <c r="I184" s="65">
        <v>0</v>
      </c>
      <c r="J184" s="65">
        <v>0</v>
      </c>
    </row>
    <row r="185" spans="1:10" ht="15" x14ac:dyDescent="0.2">
      <c r="A185" s="41"/>
      <c r="B185" s="151" t="s">
        <v>436</v>
      </c>
      <c r="C185" s="65">
        <v>400</v>
      </c>
      <c r="D185" s="81" t="s">
        <v>220</v>
      </c>
      <c r="E185" s="81" t="s">
        <v>377</v>
      </c>
      <c r="F185" s="81" t="s">
        <v>420</v>
      </c>
      <c r="G185" s="81" t="s">
        <v>421</v>
      </c>
      <c r="H185" s="65">
        <v>0</v>
      </c>
      <c r="I185" s="43">
        <f>'[1]Ясли сады'!ED17</f>
        <v>0</v>
      </c>
      <c r="J185" s="65">
        <v>0</v>
      </c>
    </row>
    <row r="186" spans="1:10" ht="15" x14ac:dyDescent="0.2">
      <c r="A186" s="41"/>
      <c r="B186" s="151" t="s">
        <v>530</v>
      </c>
      <c r="C186" s="65">
        <v>400</v>
      </c>
      <c r="D186" s="81" t="s">
        <v>220</v>
      </c>
      <c r="E186" s="81" t="s">
        <v>377</v>
      </c>
      <c r="F186" s="81" t="s">
        <v>420</v>
      </c>
      <c r="G186" s="81" t="s">
        <v>421</v>
      </c>
      <c r="H186" s="65">
        <v>18000</v>
      </c>
      <c r="I186" s="65">
        <v>0</v>
      </c>
      <c r="J186" s="65">
        <v>0</v>
      </c>
    </row>
    <row r="187" spans="1:10" ht="15" x14ac:dyDescent="0.2">
      <c r="A187" s="41"/>
      <c r="B187" s="151" t="s">
        <v>445</v>
      </c>
      <c r="C187" s="65">
        <v>400</v>
      </c>
      <c r="D187" s="81" t="s">
        <v>220</v>
      </c>
      <c r="E187" s="81" t="s">
        <v>377</v>
      </c>
      <c r="F187" s="81" t="s">
        <v>420</v>
      </c>
      <c r="G187" s="81" t="s">
        <v>421</v>
      </c>
      <c r="H187" s="65">
        <v>0</v>
      </c>
      <c r="I187" s="43">
        <f>'[1]Ясли сады'!ED9</f>
        <v>0</v>
      </c>
      <c r="J187" s="65">
        <v>0</v>
      </c>
    </row>
    <row r="188" spans="1:10" ht="15" x14ac:dyDescent="0.2">
      <c r="A188" s="41"/>
      <c r="B188" s="151" t="s">
        <v>531</v>
      </c>
      <c r="C188" s="65">
        <v>400</v>
      </c>
      <c r="D188" s="81" t="s">
        <v>220</v>
      </c>
      <c r="E188" s="81" t="s">
        <v>377</v>
      </c>
      <c r="F188" s="81" t="s">
        <v>420</v>
      </c>
      <c r="G188" s="81" t="s">
        <v>421</v>
      </c>
      <c r="H188" s="65">
        <v>0</v>
      </c>
      <c r="I188" s="65">
        <v>0</v>
      </c>
      <c r="J188" s="65">
        <v>18000</v>
      </c>
    </row>
    <row r="189" spans="1:10" ht="15" x14ac:dyDescent="0.2">
      <c r="A189" s="41"/>
      <c r="B189" s="151" t="s">
        <v>417</v>
      </c>
      <c r="C189" s="65">
        <v>400</v>
      </c>
      <c r="D189" s="81" t="s">
        <v>220</v>
      </c>
      <c r="E189" s="81" t="s">
        <v>377</v>
      </c>
      <c r="F189" s="81" t="s">
        <v>420</v>
      </c>
      <c r="G189" s="81" t="s">
        <v>421</v>
      </c>
      <c r="H189" s="65">
        <v>0</v>
      </c>
      <c r="I189" s="43">
        <f>'[1]Ясли сады'!ED15</f>
        <v>0</v>
      </c>
      <c r="J189" s="65">
        <v>0</v>
      </c>
    </row>
    <row r="190" spans="1:10" ht="15" x14ac:dyDescent="0.2">
      <c r="A190" s="41"/>
      <c r="B190" s="151" t="s">
        <v>532</v>
      </c>
      <c r="C190" s="65">
        <v>400</v>
      </c>
      <c r="D190" s="81" t="s">
        <v>220</v>
      </c>
      <c r="E190" s="81" t="s">
        <v>377</v>
      </c>
      <c r="F190" s="81" t="s">
        <v>420</v>
      </c>
      <c r="G190" s="81" t="s">
        <v>421</v>
      </c>
      <c r="H190" s="65">
        <v>0</v>
      </c>
      <c r="I190" s="43">
        <f>'[1]Ясли сады'!ED22</f>
        <v>0</v>
      </c>
      <c r="J190" s="65">
        <v>0</v>
      </c>
    </row>
    <row r="191" spans="1:10" ht="15" x14ac:dyDescent="0.2">
      <c r="A191" s="41"/>
      <c r="B191" s="151" t="s">
        <v>437</v>
      </c>
      <c r="C191" s="65">
        <v>400</v>
      </c>
      <c r="D191" s="81" t="s">
        <v>220</v>
      </c>
      <c r="E191" s="81" t="s">
        <v>377</v>
      </c>
      <c r="F191" s="81" t="s">
        <v>420</v>
      </c>
      <c r="G191" s="81" t="s">
        <v>421</v>
      </c>
      <c r="H191" s="65">
        <v>0</v>
      </c>
      <c r="I191" s="43">
        <f>'[1]Ясли сады'!ED21</f>
        <v>0</v>
      </c>
      <c r="J191" s="65">
        <v>0</v>
      </c>
    </row>
    <row r="192" spans="1:10" ht="15" x14ac:dyDescent="0.2">
      <c r="A192" s="41"/>
      <c r="B192" s="151" t="s">
        <v>533</v>
      </c>
      <c r="C192" s="65">
        <v>400</v>
      </c>
      <c r="D192" s="81" t="s">
        <v>220</v>
      </c>
      <c r="E192" s="81" t="s">
        <v>377</v>
      </c>
      <c r="F192" s="81" t="s">
        <v>420</v>
      </c>
      <c r="G192" s="81" t="s">
        <v>421</v>
      </c>
      <c r="H192" s="65">
        <v>0</v>
      </c>
      <c r="I192" s="43">
        <f>'[1]Ясли сады'!ED19</f>
        <v>0</v>
      </c>
      <c r="J192" s="65">
        <v>0</v>
      </c>
    </row>
    <row r="193" spans="1:10" ht="15" x14ac:dyDescent="0.2">
      <c r="A193" s="41"/>
      <c r="B193" s="151" t="s">
        <v>438</v>
      </c>
      <c r="C193" s="65">
        <v>400</v>
      </c>
      <c r="D193" s="81" t="s">
        <v>220</v>
      </c>
      <c r="E193" s="81" t="s">
        <v>377</v>
      </c>
      <c r="F193" s="81" t="s">
        <v>420</v>
      </c>
      <c r="G193" s="81" t="s">
        <v>421</v>
      </c>
      <c r="H193" s="65">
        <v>0</v>
      </c>
      <c r="I193" s="65">
        <v>0</v>
      </c>
      <c r="J193" s="65">
        <v>10800</v>
      </c>
    </row>
    <row r="194" spans="1:10" ht="15" x14ac:dyDescent="0.2">
      <c r="A194" s="41"/>
      <c r="B194" s="151" t="s">
        <v>534</v>
      </c>
      <c r="C194" s="65">
        <v>400</v>
      </c>
      <c r="D194" s="81" t="s">
        <v>220</v>
      </c>
      <c r="E194" s="81" t="s">
        <v>377</v>
      </c>
      <c r="F194" s="81" t="s">
        <v>420</v>
      </c>
      <c r="G194" s="81" t="s">
        <v>421</v>
      </c>
      <c r="H194" s="65">
        <v>0</v>
      </c>
      <c r="I194" s="65">
        <v>0</v>
      </c>
      <c r="J194" s="65">
        <v>15500</v>
      </c>
    </row>
    <row r="195" spans="1:10" ht="15" x14ac:dyDescent="0.2">
      <c r="A195" s="41"/>
      <c r="B195" s="151" t="s">
        <v>439</v>
      </c>
      <c r="C195" s="65">
        <v>400</v>
      </c>
      <c r="D195" s="81" t="s">
        <v>220</v>
      </c>
      <c r="E195" s="81" t="s">
        <v>377</v>
      </c>
      <c r="F195" s="81" t="s">
        <v>420</v>
      </c>
      <c r="G195" s="81" t="s">
        <v>421</v>
      </c>
      <c r="H195" s="65">
        <v>0</v>
      </c>
      <c r="I195" s="65">
        <v>0</v>
      </c>
      <c r="J195" s="65">
        <v>6600</v>
      </c>
    </row>
    <row r="196" spans="1:10" ht="15" x14ac:dyDescent="0.2">
      <c r="A196" s="41"/>
      <c r="B196" s="151" t="s">
        <v>418</v>
      </c>
      <c r="C196" s="65">
        <v>400</v>
      </c>
      <c r="D196" s="81" t="s">
        <v>220</v>
      </c>
      <c r="E196" s="81" t="s">
        <v>377</v>
      </c>
      <c r="F196" s="81" t="s">
        <v>420</v>
      </c>
      <c r="G196" s="81" t="s">
        <v>421</v>
      </c>
      <c r="H196" s="65">
        <v>0</v>
      </c>
      <c r="I196" s="43">
        <f>'[1]Ясли сады'!ED18</f>
        <v>0</v>
      </c>
      <c r="J196" s="65">
        <v>0</v>
      </c>
    </row>
    <row r="197" spans="1:10" ht="14.25" x14ac:dyDescent="0.2">
      <c r="A197" s="41"/>
      <c r="B197" s="245" t="s">
        <v>536</v>
      </c>
      <c r="C197" s="309">
        <v>400</v>
      </c>
      <c r="D197" s="187" t="s">
        <v>220</v>
      </c>
      <c r="E197" s="187" t="s">
        <v>377</v>
      </c>
      <c r="F197" s="187" t="s">
        <v>420</v>
      </c>
      <c r="G197" s="187" t="s">
        <v>421</v>
      </c>
      <c r="H197" s="42">
        <f>SUM(H183:H196)</f>
        <v>59600</v>
      </c>
      <c r="I197" s="42">
        <f>SUM(I183:I196)</f>
        <v>0</v>
      </c>
      <c r="J197" s="42">
        <f>SUM(J183:J196)</f>
        <v>50900</v>
      </c>
    </row>
    <row r="198" spans="1:10" ht="15" x14ac:dyDescent="0.2">
      <c r="A198" s="41"/>
      <c r="B198" s="151" t="s">
        <v>539</v>
      </c>
      <c r="C198" s="312">
        <v>992</v>
      </c>
      <c r="D198" s="81" t="s">
        <v>324</v>
      </c>
      <c r="E198" s="81" t="s">
        <v>483</v>
      </c>
      <c r="F198" s="65">
        <v>611</v>
      </c>
      <c r="G198" s="65">
        <v>241</v>
      </c>
      <c r="H198" s="43">
        <v>51700</v>
      </c>
      <c r="I198" s="43">
        <f>'[1]МБУ внешк учрежд'!CS8</f>
        <v>0</v>
      </c>
      <c r="J198" s="43">
        <v>0</v>
      </c>
    </row>
    <row r="199" spans="1:10" ht="15" x14ac:dyDescent="0.2">
      <c r="A199" s="41"/>
      <c r="B199" s="151" t="s">
        <v>540</v>
      </c>
      <c r="C199" s="312">
        <v>992</v>
      </c>
      <c r="D199" s="81" t="s">
        <v>324</v>
      </c>
      <c r="E199" s="81" t="s">
        <v>485</v>
      </c>
      <c r="F199" s="65">
        <v>611</v>
      </c>
      <c r="G199" s="65">
        <v>241</v>
      </c>
      <c r="H199" s="43">
        <v>0</v>
      </c>
      <c r="I199" s="43">
        <f>'[1]МБУ внешк учрежд'!CS7</f>
        <v>0</v>
      </c>
      <c r="J199" s="43">
        <v>0</v>
      </c>
    </row>
    <row r="200" spans="1:10" ht="15" x14ac:dyDescent="0.2">
      <c r="A200" s="41"/>
      <c r="B200" s="151" t="s">
        <v>515</v>
      </c>
      <c r="C200" s="312">
        <v>992</v>
      </c>
      <c r="D200" s="81" t="s">
        <v>324</v>
      </c>
      <c r="E200" s="81" t="s">
        <v>486</v>
      </c>
      <c r="F200" s="65">
        <v>611</v>
      </c>
      <c r="G200" s="65">
        <v>241</v>
      </c>
      <c r="H200" s="43">
        <v>0</v>
      </c>
      <c r="I200" s="43">
        <f>'[1]МБУ внешк учрежд'!CS9</f>
        <v>0</v>
      </c>
      <c r="J200" s="43">
        <v>0</v>
      </c>
    </row>
    <row r="201" spans="1:10" ht="15" x14ac:dyDescent="0.2">
      <c r="A201" s="41"/>
      <c r="B201" s="151" t="s">
        <v>516</v>
      </c>
      <c r="C201" s="312">
        <v>992</v>
      </c>
      <c r="D201" s="81" t="s">
        <v>324</v>
      </c>
      <c r="E201" s="81" t="s">
        <v>482</v>
      </c>
      <c r="F201" s="65">
        <v>611</v>
      </c>
      <c r="G201" s="65">
        <v>241</v>
      </c>
      <c r="H201" s="43">
        <v>6100</v>
      </c>
      <c r="I201" s="43">
        <f>'[1]МБУ внешк учрежд'!CS10</f>
        <v>0</v>
      </c>
      <c r="J201" s="43">
        <v>0</v>
      </c>
    </row>
    <row r="202" spans="1:10" x14ac:dyDescent="0.2">
      <c r="A202" s="41"/>
      <c r="B202" s="34" t="s">
        <v>542</v>
      </c>
      <c r="C202" s="187" t="s">
        <v>206</v>
      </c>
      <c r="D202" s="187" t="s">
        <v>324</v>
      </c>
      <c r="E202" s="187"/>
      <c r="F202" s="187" t="s">
        <v>479</v>
      </c>
      <c r="G202" s="187" t="s">
        <v>543</v>
      </c>
      <c r="H202" s="42">
        <f>SUM(H198:H201)</f>
        <v>57800</v>
      </c>
      <c r="I202" s="42">
        <f>SUM(I198:I201)</f>
        <v>0</v>
      </c>
      <c r="J202" s="42">
        <f>SUM(J198:J201)</f>
        <v>0</v>
      </c>
    </row>
    <row r="203" spans="1:10" ht="25.5" x14ac:dyDescent="0.2">
      <c r="A203" s="41"/>
      <c r="B203" s="170" t="s">
        <v>565</v>
      </c>
      <c r="C203" s="187" t="s">
        <v>197</v>
      </c>
      <c r="D203" s="187" t="s">
        <v>76</v>
      </c>
      <c r="E203" s="187" t="s">
        <v>566</v>
      </c>
      <c r="F203" s="187" t="s">
        <v>420</v>
      </c>
      <c r="G203" s="187" t="s">
        <v>421</v>
      </c>
      <c r="H203" s="42">
        <v>0</v>
      </c>
      <c r="I203" s="42">
        <f>'[1]МКУ "ФОК"'!CJ9</f>
        <v>0</v>
      </c>
      <c r="J203" s="42">
        <v>0</v>
      </c>
    </row>
    <row r="204" spans="1:10" x14ac:dyDescent="0.2">
      <c r="A204" s="41"/>
      <c r="B204" s="34" t="s">
        <v>478</v>
      </c>
      <c r="C204" s="187" t="s">
        <v>206</v>
      </c>
      <c r="D204" s="187" t="s">
        <v>112</v>
      </c>
      <c r="E204" s="187" t="s">
        <v>471</v>
      </c>
      <c r="F204" s="187" t="s">
        <v>479</v>
      </c>
      <c r="G204" s="187" t="s">
        <v>543</v>
      </c>
      <c r="H204" s="42">
        <v>16000</v>
      </c>
      <c r="I204" s="42">
        <f>'[1]МБУ ЦБ'!CN9</f>
        <v>0</v>
      </c>
      <c r="J204" s="42">
        <v>0</v>
      </c>
    </row>
    <row r="205" spans="1:10" x14ac:dyDescent="0.2">
      <c r="A205" s="41"/>
      <c r="B205" s="34" t="s">
        <v>567</v>
      </c>
      <c r="C205" s="187" t="s">
        <v>134</v>
      </c>
      <c r="D205" s="187" t="s">
        <v>222</v>
      </c>
      <c r="E205" s="187" t="s">
        <v>475</v>
      </c>
      <c r="F205" s="187" t="s">
        <v>420</v>
      </c>
      <c r="G205" s="187" t="s">
        <v>421</v>
      </c>
      <c r="H205" s="42">
        <v>0</v>
      </c>
      <c r="I205" s="42">
        <f>'[1]МКУ "УО"'!CJ9</f>
        <v>0</v>
      </c>
      <c r="J205" s="42">
        <v>0</v>
      </c>
    </row>
    <row r="206" spans="1:10" x14ac:dyDescent="0.2">
      <c r="A206" s="41"/>
      <c r="B206" s="34" t="s">
        <v>568</v>
      </c>
      <c r="C206" s="187" t="s">
        <v>197</v>
      </c>
      <c r="D206" s="187" t="s">
        <v>44</v>
      </c>
      <c r="E206" s="187" t="s">
        <v>569</v>
      </c>
      <c r="F206" s="187" t="s">
        <v>420</v>
      </c>
      <c r="G206" s="187" t="s">
        <v>421</v>
      </c>
      <c r="H206" s="42">
        <v>0</v>
      </c>
      <c r="I206" s="42">
        <f>'[1]МКУ "Редакция"'!CJ9</f>
        <v>13700</v>
      </c>
      <c r="J206" s="42">
        <v>13700</v>
      </c>
    </row>
    <row r="207" spans="1:10" x14ac:dyDescent="0.2">
      <c r="A207" s="41"/>
      <c r="B207" s="172" t="s">
        <v>576</v>
      </c>
      <c r="C207" s="187">
        <v>992</v>
      </c>
      <c r="D207" s="187" t="s">
        <v>18</v>
      </c>
      <c r="E207" s="187" t="s">
        <v>481</v>
      </c>
      <c r="F207" s="187" t="s">
        <v>479</v>
      </c>
      <c r="G207" s="187" t="s">
        <v>543</v>
      </c>
      <c r="H207" s="309">
        <v>0</v>
      </c>
      <c r="I207" s="42">
        <f>'[1]МБУ ЖКХ'!CL68</f>
        <v>3000</v>
      </c>
      <c r="J207" s="309">
        <v>3000</v>
      </c>
    </row>
    <row r="208" spans="1:10" x14ac:dyDescent="0.2">
      <c r="A208" s="41"/>
      <c r="B208" s="172" t="s">
        <v>570</v>
      </c>
      <c r="C208" s="187" t="s">
        <v>206</v>
      </c>
      <c r="D208" s="187" t="s">
        <v>153</v>
      </c>
      <c r="E208" s="187" t="s">
        <v>475</v>
      </c>
      <c r="F208" s="187" t="s">
        <v>420</v>
      </c>
      <c r="G208" s="187" t="s">
        <v>421</v>
      </c>
      <c r="H208" s="309">
        <v>0</v>
      </c>
      <c r="I208" s="246">
        <f>'[1]МКУ "ФУ"'!CF30</f>
        <v>19500</v>
      </c>
      <c r="J208" s="309">
        <v>19500</v>
      </c>
    </row>
    <row r="209" spans="1:10" x14ac:dyDescent="0.2">
      <c r="A209" s="41"/>
      <c r="B209" s="172" t="s">
        <v>571</v>
      </c>
      <c r="C209" s="187" t="s">
        <v>197</v>
      </c>
      <c r="D209" s="187" t="s">
        <v>223</v>
      </c>
      <c r="E209" s="187" t="s">
        <v>572</v>
      </c>
      <c r="F209" s="187" t="s">
        <v>420</v>
      </c>
      <c r="G209" s="187" t="s">
        <v>421</v>
      </c>
      <c r="H209" s="309">
        <v>0</v>
      </c>
      <c r="I209" s="42">
        <f>'[1]МКУ "УК"'!CH10</f>
        <v>26000</v>
      </c>
      <c r="J209" s="309">
        <v>26000</v>
      </c>
    </row>
    <row r="210" spans="1:10" x14ac:dyDescent="0.2">
      <c r="A210" s="41"/>
      <c r="B210" s="172" t="s">
        <v>573</v>
      </c>
      <c r="C210" s="187" t="s">
        <v>197</v>
      </c>
      <c r="D210" s="187" t="s">
        <v>223</v>
      </c>
      <c r="E210" s="187" t="s">
        <v>574</v>
      </c>
      <c r="F210" s="187" t="s">
        <v>420</v>
      </c>
      <c r="G210" s="187" t="s">
        <v>421</v>
      </c>
      <c r="H210" s="309">
        <v>0</v>
      </c>
      <c r="I210" s="42">
        <f>'[1]МКУ "БЦРБ"'!CH9</f>
        <v>6000</v>
      </c>
      <c r="J210" s="309">
        <v>6000</v>
      </c>
    </row>
    <row r="211" spans="1:10" x14ac:dyDescent="0.2">
      <c r="A211" s="41"/>
      <c r="B211" s="172" t="s">
        <v>26</v>
      </c>
      <c r="C211" s="187" t="s">
        <v>197</v>
      </c>
      <c r="D211" s="187" t="s">
        <v>196</v>
      </c>
      <c r="E211" s="187" t="s">
        <v>475</v>
      </c>
      <c r="F211" s="187" t="s">
        <v>420</v>
      </c>
      <c r="G211" s="187" t="s">
        <v>421</v>
      </c>
      <c r="H211" s="309">
        <v>33000</v>
      </c>
      <c r="I211" s="42">
        <f>[1]Администрация!CE44</f>
        <v>9500</v>
      </c>
      <c r="J211" s="309">
        <v>9500</v>
      </c>
    </row>
    <row r="212" spans="1:10" x14ac:dyDescent="0.2">
      <c r="A212" s="41"/>
      <c r="B212" s="172" t="s">
        <v>575</v>
      </c>
      <c r="C212" s="309"/>
      <c r="D212" s="309"/>
      <c r="E212" s="309"/>
      <c r="F212" s="309"/>
      <c r="G212" s="309"/>
      <c r="H212" s="42">
        <f>SUM(H203:H211)</f>
        <v>49000</v>
      </c>
      <c r="I212" s="42">
        <f>SUM(I203:I211)</f>
        <v>77700</v>
      </c>
      <c r="J212" s="42">
        <f>SUM(J203:J211)</f>
        <v>77700</v>
      </c>
    </row>
    <row r="213" spans="1:10" x14ac:dyDescent="0.2">
      <c r="A213" s="41"/>
      <c r="B213" s="172" t="s">
        <v>577</v>
      </c>
      <c r="C213" s="309"/>
      <c r="D213" s="309"/>
      <c r="E213" s="309"/>
      <c r="F213" s="309"/>
      <c r="G213" s="309"/>
      <c r="H213" s="42">
        <f>SUM(H182,H197,H202,H212)</f>
        <v>166400</v>
      </c>
      <c r="I213" s="42">
        <f>SUM(I182,I197,I202,I212)</f>
        <v>191700</v>
      </c>
      <c r="J213" s="42">
        <f>SUM(J182,J197,J202,J212)</f>
        <v>220100</v>
      </c>
    </row>
    <row r="214" spans="1:10" x14ac:dyDescent="0.2">
      <c r="A214" s="41"/>
      <c r="B214" s="250"/>
      <c r="C214" s="41"/>
      <c r="D214" s="41"/>
      <c r="E214" s="41"/>
      <c r="F214" s="41"/>
      <c r="G214" s="41"/>
      <c r="H214" s="253"/>
      <c r="I214" s="253"/>
      <c r="J214" s="253"/>
    </row>
    <row r="215" spans="1:10" x14ac:dyDescent="0.2">
      <c r="A215" s="41"/>
      <c r="B215" s="392" t="s">
        <v>579</v>
      </c>
      <c r="C215" s="392"/>
      <c r="D215" s="392"/>
      <c r="E215" s="392"/>
      <c r="F215" s="392"/>
      <c r="G215" s="392"/>
      <c r="H215" s="392"/>
      <c r="I215" s="392"/>
      <c r="J215" s="392"/>
    </row>
    <row r="216" spans="1:10" x14ac:dyDescent="0.2">
      <c r="A216" s="41"/>
      <c r="B216" s="250"/>
      <c r="C216" s="41"/>
      <c r="D216" s="41"/>
      <c r="E216" s="41"/>
      <c r="F216" s="41"/>
      <c r="G216" s="41"/>
      <c r="H216" s="253"/>
      <c r="I216" s="253"/>
      <c r="J216" s="253"/>
    </row>
    <row r="217" spans="1:10" x14ac:dyDescent="0.2">
      <c r="A217" s="41"/>
      <c r="B217" s="50" t="s">
        <v>504</v>
      </c>
      <c r="C217" s="81">
        <v>400</v>
      </c>
      <c r="D217" s="81" t="s">
        <v>221</v>
      </c>
      <c r="E217" s="81" t="s">
        <v>376</v>
      </c>
      <c r="F217" s="81" t="s">
        <v>420</v>
      </c>
      <c r="G217" s="81" t="s">
        <v>548</v>
      </c>
      <c r="H217" s="43">
        <v>0</v>
      </c>
      <c r="I217" s="43">
        <v>0</v>
      </c>
      <c r="J217" s="43">
        <v>40000</v>
      </c>
    </row>
    <row r="218" spans="1:10" x14ac:dyDescent="0.2">
      <c r="A218" s="41"/>
      <c r="B218" s="50" t="s">
        <v>506</v>
      </c>
      <c r="C218" s="81">
        <v>400</v>
      </c>
      <c r="D218" s="81" t="s">
        <v>221</v>
      </c>
      <c r="E218" s="81" t="s">
        <v>376</v>
      </c>
      <c r="F218" s="81" t="s">
        <v>420</v>
      </c>
      <c r="G218" s="81" t="s">
        <v>548</v>
      </c>
      <c r="H218" s="43">
        <v>0</v>
      </c>
      <c r="I218" s="43">
        <v>0</v>
      </c>
      <c r="J218" s="43">
        <v>40000</v>
      </c>
    </row>
    <row r="219" spans="1:10" x14ac:dyDescent="0.2">
      <c r="A219" s="41"/>
      <c r="B219" s="50" t="s">
        <v>547</v>
      </c>
      <c r="C219" s="81">
        <v>400</v>
      </c>
      <c r="D219" s="81" t="s">
        <v>221</v>
      </c>
      <c r="E219" s="81" t="s">
        <v>376</v>
      </c>
      <c r="F219" s="81" t="s">
        <v>420</v>
      </c>
      <c r="G219" s="81" t="s">
        <v>548</v>
      </c>
      <c r="H219" s="43">
        <v>0</v>
      </c>
      <c r="I219" s="43">
        <v>0</v>
      </c>
      <c r="J219" s="43">
        <v>40000</v>
      </c>
    </row>
    <row r="220" spans="1:10" x14ac:dyDescent="0.2">
      <c r="A220" s="41"/>
      <c r="B220" s="50" t="s">
        <v>581</v>
      </c>
      <c r="C220" s="81">
        <v>400</v>
      </c>
      <c r="D220" s="81" t="s">
        <v>221</v>
      </c>
      <c r="E220" s="81" t="s">
        <v>376</v>
      </c>
      <c r="F220" s="81" t="s">
        <v>420</v>
      </c>
      <c r="G220" s="81" t="s">
        <v>548</v>
      </c>
      <c r="H220" s="43">
        <v>0</v>
      </c>
      <c r="I220" s="43">
        <v>0</v>
      </c>
      <c r="J220" s="43">
        <v>15000</v>
      </c>
    </row>
    <row r="221" spans="1:10" x14ac:dyDescent="0.2">
      <c r="A221" s="41"/>
      <c r="B221" s="50" t="s">
        <v>580</v>
      </c>
      <c r="C221" s="81">
        <v>400</v>
      </c>
      <c r="D221" s="81" t="s">
        <v>221</v>
      </c>
      <c r="E221" s="81" t="s">
        <v>376</v>
      </c>
      <c r="F221" s="81" t="s">
        <v>420</v>
      </c>
      <c r="G221" s="81" t="s">
        <v>548</v>
      </c>
      <c r="H221" s="43">
        <v>0</v>
      </c>
      <c r="I221" s="43">
        <v>0</v>
      </c>
      <c r="J221" s="43">
        <v>30000</v>
      </c>
    </row>
    <row r="222" spans="1:10" x14ac:dyDescent="0.2">
      <c r="A222" s="41"/>
      <c r="B222" s="50" t="s">
        <v>508</v>
      </c>
      <c r="C222" s="81">
        <v>400</v>
      </c>
      <c r="D222" s="81" t="s">
        <v>221</v>
      </c>
      <c r="E222" s="81" t="s">
        <v>376</v>
      </c>
      <c r="F222" s="81" t="s">
        <v>420</v>
      </c>
      <c r="G222" s="81" t="s">
        <v>548</v>
      </c>
      <c r="H222" s="43">
        <v>0</v>
      </c>
      <c r="I222" s="43">
        <v>0</v>
      </c>
      <c r="J222" s="43">
        <v>50000</v>
      </c>
    </row>
    <row r="223" spans="1:10" x14ac:dyDescent="0.2">
      <c r="A223" s="41"/>
      <c r="B223" s="172" t="s">
        <v>582</v>
      </c>
      <c r="C223" s="187"/>
      <c r="D223" s="187"/>
      <c r="E223" s="187"/>
      <c r="F223" s="187"/>
      <c r="G223" s="187"/>
      <c r="H223" s="42">
        <f>SUM(H217:H222)</f>
        <v>0</v>
      </c>
      <c r="I223" s="42">
        <f>SUM(I217:I222)</f>
        <v>0</v>
      </c>
      <c r="J223" s="42">
        <f>SUM(J217:J222)</f>
        <v>215000</v>
      </c>
    </row>
    <row r="224" spans="1:10" x14ac:dyDescent="0.2">
      <c r="A224" s="41"/>
      <c r="B224" s="250"/>
      <c r="C224" s="248"/>
      <c r="D224" s="248"/>
      <c r="E224" s="248"/>
      <c r="F224" s="248"/>
      <c r="G224" s="248"/>
      <c r="H224" s="253"/>
      <c r="I224" s="253"/>
      <c r="J224" s="253"/>
    </row>
    <row r="225" spans="1:10" x14ac:dyDescent="0.2">
      <c r="A225" s="41"/>
      <c r="B225" s="392" t="s">
        <v>583</v>
      </c>
      <c r="C225" s="392"/>
      <c r="D225" s="392"/>
      <c r="E225" s="392"/>
      <c r="F225" s="392"/>
      <c r="G225" s="392"/>
      <c r="H225" s="392"/>
      <c r="I225" s="392"/>
      <c r="J225" s="392"/>
    </row>
    <row r="226" spans="1:10" x14ac:dyDescent="0.2">
      <c r="A226" s="41"/>
      <c r="B226" s="152"/>
      <c r="C226" s="39"/>
      <c r="D226" s="39"/>
      <c r="E226" s="39"/>
      <c r="F226" s="39"/>
      <c r="G226" s="39"/>
      <c r="H226" s="47"/>
      <c r="I226" s="47"/>
      <c r="J226" s="47"/>
    </row>
    <row r="227" spans="1:10" x14ac:dyDescent="0.2">
      <c r="A227" s="41"/>
      <c r="B227" s="26" t="s">
        <v>419</v>
      </c>
      <c r="C227" s="81">
        <v>400</v>
      </c>
      <c r="D227" s="81" t="s">
        <v>221</v>
      </c>
      <c r="E227" s="81" t="s">
        <v>376</v>
      </c>
      <c r="F227" s="81" t="s">
        <v>420</v>
      </c>
      <c r="G227" s="81" t="s">
        <v>499</v>
      </c>
      <c r="H227" s="43">
        <v>25000</v>
      </c>
      <c r="I227" s="43">
        <f>[1]Школы!GP10</f>
        <v>25000</v>
      </c>
      <c r="J227" s="43">
        <v>25000</v>
      </c>
    </row>
    <row r="228" spans="1:10" x14ac:dyDescent="0.2">
      <c r="A228" s="41"/>
      <c r="B228" s="26" t="s">
        <v>422</v>
      </c>
      <c r="C228" s="81">
        <v>400</v>
      </c>
      <c r="D228" s="81" t="s">
        <v>221</v>
      </c>
      <c r="E228" s="81" t="s">
        <v>376</v>
      </c>
      <c r="F228" s="81" t="s">
        <v>420</v>
      </c>
      <c r="G228" s="81" t="s">
        <v>499</v>
      </c>
      <c r="H228" s="43">
        <v>25000</v>
      </c>
      <c r="I228" s="43">
        <f>[1]Школы!GP11</f>
        <v>25000</v>
      </c>
      <c r="J228" s="43">
        <v>25000</v>
      </c>
    </row>
    <row r="229" spans="1:10" x14ac:dyDescent="0.2">
      <c r="A229" s="41"/>
      <c r="B229" s="26" t="s">
        <v>423</v>
      </c>
      <c r="C229" s="81">
        <v>400</v>
      </c>
      <c r="D229" s="81" t="s">
        <v>221</v>
      </c>
      <c r="E229" s="81" t="s">
        <v>376</v>
      </c>
      <c r="F229" s="81" t="s">
        <v>420</v>
      </c>
      <c r="G229" s="81" t="s">
        <v>499</v>
      </c>
      <c r="H229" s="43">
        <v>15000</v>
      </c>
      <c r="I229" s="43">
        <f>[1]Школы!GP23</f>
        <v>15000</v>
      </c>
      <c r="J229" s="43">
        <v>15000</v>
      </c>
    </row>
    <row r="230" spans="1:10" x14ac:dyDescent="0.2">
      <c r="A230" s="41"/>
      <c r="B230" s="26" t="s">
        <v>424</v>
      </c>
      <c r="C230" s="81">
        <v>400</v>
      </c>
      <c r="D230" s="81" t="s">
        <v>221</v>
      </c>
      <c r="E230" s="81" t="s">
        <v>376</v>
      </c>
      <c r="F230" s="81" t="s">
        <v>420</v>
      </c>
      <c r="G230" s="81" t="s">
        <v>499</v>
      </c>
      <c r="H230" s="43">
        <v>18000</v>
      </c>
      <c r="I230" s="43">
        <f>[1]Школы!GP16</f>
        <v>18000</v>
      </c>
      <c r="J230" s="43">
        <v>18000</v>
      </c>
    </row>
    <row r="231" spans="1:10" x14ac:dyDescent="0.2">
      <c r="A231" s="41"/>
      <c r="B231" s="26" t="s">
        <v>425</v>
      </c>
      <c r="C231" s="81">
        <v>400</v>
      </c>
      <c r="D231" s="81" t="s">
        <v>221</v>
      </c>
      <c r="E231" s="81" t="s">
        <v>376</v>
      </c>
      <c r="F231" s="81" t="s">
        <v>420</v>
      </c>
      <c r="G231" s="81" t="s">
        <v>499</v>
      </c>
      <c r="H231" s="43">
        <v>15000</v>
      </c>
      <c r="I231" s="43">
        <f>[1]Школы!GP27</f>
        <v>15000</v>
      </c>
      <c r="J231" s="43">
        <v>15000</v>
      </c>
    </row>
    <row r="232" spans="1:10" x14ac:dyDescent="0.2">
      <c r="A232" s="41"/>
      <c r="B232" s="26" t="s">
        <v>426</v>
      </c>
      <c r="C232" s="81">
        <v>400</v>
      </c>
      <c r="D232" s="81" t="s">
        <v>221</v>
      </c>
      <c r="E232" s="81" t="s">
        <v>376</v>
      </c>
      <c r="F232" s="81" t="s">
        <v>420</v>
      </c>
      <c r="G232" s="81" t="s">
        <v>499</v>
      </c>
      <c r="H232" s="43">
        <v>25000</v>
      </c>
      <c r="I232" s="43">
        <f>[1]Школы!GP20</f>
        <v>25000</v>
      </c>
      <c r="J232" s="43">
        <v>25000</v>
      </c>
    </row>
    <row r="233" spans="1:10" x14ac:dyDescent="0.2">
      <c r="A233" s="41"/>
      <c r="B233" s="26" t="s">
        <v>427</v>
      </c>
      <c r="C233" s="81">
        <v>400</v>
      </c>
      <c r="D233" s="81" t="s">
        <v>221</v>
      </c>
      <c r="E233" s="81" t="s">
        <v>376</v>
      </c>
      <c r="F233" s="81" t="s">
        <v>420</v>
      </c>
      <c r="G233" s="81" t="s">
        <v>499</v>
      </c>
      <c r="H233" s="43">
        <v>15000</v>
      </c>
      <c r="I233" s="43">
        <f>[1]Школы!GP21</f>
        <v>15000</v>
      </c>
      <c r="J233" s="43">
        <v>15000</v>
      </c>
    </row>
    <row r="234" spans="1:10" x14ac:dyDescent="0.2">
      <c r="A234" s="41"/>
      <c r="B234" s="26" t="s">
        <v>428</v>
      </c>
      <c r="C234" s="81">
        <v>400</v>
      </c>
      <c r="D234" s="81" t="s">
        <v>221</v>
      </c>
      <c r="E234" s="81" t="s">
        <v>376</v>
      </c>
      <c r="F234" s="81" t="s">
        <v>420</v>
      </c>
      <c r="G234" s="81" t="s">
        <v>499</v>
      </c>
      <c r="H234" s="43">
        <v>20000</v>
      </c>
      <c r="I234" s="43">
        <f>[1]Школы!GP25</f>
        <v>20000</v>
      </c>
      <c r="J234" s="43">
        <v>20000</v>
      </c>
    </row>
    <row r="235" spans="1:10" x14ac:dyDescent="0.2">
      <c r="A235" s="41"/>
      <c r="B235" s="26" t="s">
        <v>429</v>
      </c>
      <c r="C235" s="81">
        <v>400</v>
      </c>
      <c r="D235" s="81" t="s">
        <v>221</v>
      </c>
      <c r="E235" s="81" t="s">
        <v>376</v>
      </c>
      <c r="F235" s="81" t="s">
        <v>420</v>
      </c>
      <c r="G235" s="81" t="s">
        <v>499</v>
      </c>
      <c r="H235" s="43">
        <v>25000</v>
      </c>
      <c r="I235" s="43">
        <f>[1]Школы!GP13</f>
        <v>25000</v>
      </c>
      <c r="J235" s="43">
        <v>25000</v>
      </c>
    </row>
    <row r="236" spans="1:10" x14ac:dyDescent="0.2">
      <c r="A236" s="41"/>
      <c r="B236" s="26" t="s">
        <v>430</v>
      </c>
      <c r="C236" s="81">
        <v>400</v>
      </c>
      <c r="D236" s="81" t="s">
        <v>221</v>
      </c>
      <c r="E236" s="81" t="s">
        <v>376</v>
      </c>
      <c r="F236" s="81" t="s">
        <v>420</v>
      </c>
      <c r="G236" s="81" t="s">
        <v>499</v>
      </c>
      <c r="H236" s="43">
        <v>25000</v>
      </c>
      <c r="I236" s="43">
        <f>[1]Школы!GP14</f>
        <v>25000</v>
      </c>
      <c r="J236" s="43">
        <v>25000</v>
      </c>
    </row>
    <row r="237" spans="1:10" x14ac:dyDescent="0.2">
      <c r="A237" s="41"/>
      <c r="B237" s="26" t="s">
        <v>431</v>
      </c>
      <c r="C237" s="81">
        <v>400</v>
      </c>
      <c r="D237" s="81" t="s">
        <v>221</v>
      </c>
      <c r="E237" s="81" t="s">
        <v>376</v>
      </c>
      <c r="F237" s="81" t="s">
        <v>420</v>
      </c>
      <c r="G237" s="81" t="s">
        <v>499</v>
      </c>
      <c r="H237" s="43">
        <v>25000</v>
      </c>
      <c r="I237" s="43">
        <f>[1]Школы!GP15</f>
        <v>25000</v>
      </c>
      <c r="J237" s="43">
        <v>25000</v>
      </c>
    </row>
    <row r="238" spans="1:10" x14ac:dyDescent="0.2">
      <c r="A238" s="41"/>
      <c r="B238" s="26" t="s">
        <v>432</v>
      </c>
      <c r="C238" s="81">
        <v>400</v>
      </c>
      <c r="D238" s="81" t="s">
        <v>221</v>
      </c>
      <c r="E238" s="81" t="s">
        <v>376</v>
      </c>
      <c r="F238" s="81" t="s">
        <v>420</v>
      </c>
      <c r="G238" s="81" t="s">
        <v>499</v>
      </c>
      <c r="H238" s="43">
        <v>20000</v>
      </c>
      <c r="I238" s="43">
        <f>[1]Школы!GP22</f>
        <v>20000</v>
      </c>
      <c r="J238" s="43">
        <v>20000</v>
      </c>
    </row>
    <row r="239" spans="1:10" x14ac:dyDescent="0.2">
      <c r="A239" s="41"/>
      <c r="B239" s="26" t="s">
        <v>433</v>
      </c>
      <c r="C239" s="81">
        <v>400</v>
      </c>
      <c r="D239" s="81" t="s">
        <v>221</v>
      </c>
      <c r="E239" s="81" t="s">
        <v>376</v>
      </c>
      <c r="F239" s="81" t="s">
        <v>420</v>
      </c>
      <c r="G239" s="81" t="s">
        <v>499</v>
      </c>
      <c r="H239" s="43">
        <v>25000</v>
      </c>
      <c r="I239" s="43">
        <f>[1]Школы!GP17</f>
        <v>25000</v>
      </c>
      <c r="J239" s="43">
        <v>25000</v>
      </c>
    </row>
    <row r="240" spans="1:10" x14ac:dyDescent="0.2">
      <c r="A240" s="41"/>
      <c r="B240" s="50" t="s">
        <v>585</v>
      </c>
      <c r="C240" s="81">
        <v>400</v>
      </c>
      <c r="D240" s="81" t="s">
        <v>221</v>
      </c>
      <c r="E240" s="81" t="s">
        <v>376</v>
      </c>
      <c r="F240" s="81" t="s">
        <v>420</v>
      </c>
      <c r="G240" s="81" t="s">
        <v>499</v>
      </c>
      <c r="H240" s="43">
        <v>18000</v>
      </c>
      <c r="I240" s="43">
        <f>[1]Школы!GP18</f>
        <v>18000</v>
      </c>
      <c r="J240" s="43">
        <v>18000</v>
      </c>
    </row>
    <row r="241" spans="1:10" x14ac:dyDescent="0.2">
      <c r="A241" s="41"/>
      <c r="B241" s="26" t="s">
        <v>520</v>
      </c>
      <c r="C241" s="81">
        <v>400</v>
      </c>
      <c r="D241" s="81" t="s">
        <v>221</v>
      </c>
      <c r="E241" s="81" t="s">
        <v>376</v>
      </c>
      <c r="F241" s="81" t="s">
        <v>420</v>
      </c>
      <c r="G241" s="81" t="s">
        <v>499</v>
      </c>
      <c r="H241" s="43">
        <v>18000</v>
      </c>
      <c r="I241" s="43">
        <f>[1]Школы!GP24</f>
        <v>18000</v>
      </c>
      <c r="J241" s="43">
        <v>18000</v>
      </c>
    </row>
    <row r="242" spans="1:10" x14ac:dyDescent="0.2">
      <c r="A242" s="41"/>
      <c r="B242" s="26" t="s">
        <v>584</v>
      </c>
      <c r="C242" s="81">
        <v>400</v>
      </c>
      <c r="D242" s="81" t="s">
        <v>221</v>
      </c>
      <c r="E242" s="81" t="s">
        <v>376</v>
      </c>
      <c r="F242" s="81" t="s">
        <v>420</v>
      </c>
      <c r="G242" s="81" t="s">
        <v>499</v>
      </c>
      <c r="H242" s="43">
        <v>18000</v>
      </c>
      <c r="I242" s="43">
        <f>[1]Школы!GP26</f>
        <v>18000</v>
      </c>
      <c r="J242" s="43">
        <v>18000</v>
      </c>
    </row>
    <row r="243" spans="1:10" x14ac:dyDescent="0.2">
      <c r="A243" s="41"/>
      <c r="B243" s="26" t="s">
        <v>522</v>
      </c>
      <c r="C243" s="81">
        <v>400</v>
      </c>
      <c r="D243" s="81" t="s">
        <v>221</v>
      </c>
      <c r="E243" s="81" t="s">
        <v>376</v>
      </c>
      <c r="F243" s="81" t="s">
        <v>420</v>
      </c>
      <c r="G243" s="81" t="s">
        <v>499</v>
      </c>
      <c r="H243" s="43">
        <v>18000</v>
      </c>
      <c r="I243" s="43">
        <f>[1]Школы!GP9</f>
        <v>18000</v>
      </c>
      <c r="J243" s="43">
        <v>18000</v>
      </c>
    </row>
    <row r="244" spans="1:10" x14ac:dyDescent="0.2">
      <c r="A244" s="41"/>
      <c r="B244" s="26" t="s">
        <v>523</v>
      </c>
      <c r="C244" s="81">
        <v>400</v>
      </c>
      <c r="D244" s="81" t="s">
        <v>221</v>
      </c>
      <c r="E244" s="81" t="s">
        <v>376</v>
      </c>
      <c r="F244" s="81" t="s">
        <v>420</v>
      </c>
      <c r="G244" s="81" t="s">
        <v>499</v>
      </c>
      <c r="H244" s="43">
        <v>25000</v>
      </c>
      <c r="I244" s="43">
        <f>[1]Школы!GP12</f>
        <v>25000</v>
      </c>
      <c r="J244" s="43">
        <v>25000</v>
      </c>
    </row>
    <row r="245" spans="1:10" x14ac:dyDescent="0.2">
      <c r="A245" s="41"/>
      <c r="B245" s="26" t="s">
        <v>524</v>
      </c>
      <c r="C245" s="81">
        <v>400</v>
      </c>
      <c r="D245" s="81" t="s">
        <v>221</v>
      </c>
      <c r="E245" s="81" t="s">
        <v>376</v>
      </c>
      <c r="F245" s="81" t="s">
        <v>420</v>
      </c>
      <c r="G245" s="81" t="s">
        <v>499</v>
      </c>
      <c r="H245" s="43">
        <v>20000</v>
      </c>
      <c r="I245" s="43">
        <f>[1]Школы!GP28</f>
        <v>20000</v>
      </c>
      <c r="J245" s="43">
        <v>20000</v>
      </c>
    </row>
    <row r="246" spans="1:10" x14ac:dyDescent="0.2">
      <c r="A246" s="41"/>
      <c r="B246" s="26" t="s">
        <v>525</v>
      </c>
      <c r="C246" s="81">
        <v>400</v>
      </c>
      <c r="D246" s="81" t="s">
        <v>221</v>
      </c>
      <c r="E246" s="81" t="s">
        <v>376</v>
      </c>
      <c r="F246" s="81" t="s">
        <v>420</v>
      </c>
      <c r="G246" s="81" t="s">
        <v>499</v>
      </c>
      <c r="H246" s="43">
        <v>25000</v>
      </c>
      <c r="I246" s="43">
        <f>[1]Школы!GP19</f>
        <v>25000</v>
      </c>
      <c r="J246" s="43">
        <v>25000</v>
      </c>
    </row>
    <row r="247" spans="1:10" x14ac:dyDescent="0.2">
      <c r="A247" s="41"/>
      <c r="B247" s="26" t="s">
        <v>527</v>
      </c>
      <c r="C247" s="81">
        <v>400</v>
      </c>
      <c r="D247" s="81" t="s">
        <v>221</v>
      </c>
      <c r="E247" s="81" t="s">
        <v>376</v>
      </c>
      <c r="F247" s="81" t="s">
        <v>420</v>
      </c>
      <c r="G247" s="81" t="s">
        <v>499</v>
      </c>
      <c r="H247" s="43">
        <v>18000</v>
      </c>
      <c r="I247" s="43">
        <f>[1]Школы!GP33</f>
        <v>18000</v>
      </c>
      <c r="J247" s="43">
        <v>18000</v>
      </c>
    </row>
    <row r="248" spans="1:10" x14ac:dyDescent="0.2">
      <c r="A248" s="41"/>
      <c r="B248" s="26" t="s">
        <v>442</v>
      </c>
      <c r="C248" s="81">
        <v>400</v>
      </c>
      <c r="D248" s="81" t="s">
        <v>221</v>
      </c>
      <c r="E248" s="81" t="s">
        <v>376</v>
      </c>
      <c r="F248" s="81" t="s">
        <v>420</v>
      </c>
      <c r="G248" s="81" t="s">
        <v>499</v>
      </c>
      <c r="H248" s="43">
        <v>15000</v>
      </c>
      <c r="I248" s="43">
        <f>[1]Школы!GP34</f>
        <v>15000</v>
      </c>
      <c r="J248" s="43">
        <v>15000</v>
      </c>
    </row>
    <row r="249" spans="1:10" x14ac:dyDescent="0.2">
      <c r="A249" s="41"/>
      <c r="B249" s="26" t="s">
        <v>443</v>
      </c>
      <c r="C249" s="81">
        <v>400</v>
      </c>
      <c r="D249" s="81" t="s">
        <v>221</v>
      </c>
      <c r="E249" s="81" t="s">
        <v>376</v>
      </c>
      <c r="F249" s="81" t="s">
        <v>420</v>
      </c>
      <c r="G249" s="81" t="s">
        <v>499</v>
      </c>
      <c r="H249" s="43">
        <v>15000</v>
      </c>
      <c r="I249" s="43">
        <f>[1]Школы!GP31</f>
        <v>15000</v>
      </c>
      <c r="J249" s="43">
        <v>15000</v>
      </c>
    </row>
    <row r="250" spans="1:10" x14ac:dyDescent="0.2">
      <c r="A250" s="41"/>
      <c r="B250" s="26" t="s">
        <v>444</v>
      </c>
      <c r="C250" s="81">
        <v>400</v>
      </c>
      <c r="D250" s="81" t="s">
        <v>221</v>
      </c>
      <c r="E250" s="81" t="s">
        <v>376</v>
      </c>
      <c r="F250" s="81" t="s">
        <v>420</v>
      </c>
      <c r="G250" s="81" t="s">
        <v>499</v>
      </c>
      <c r="H250" s="43">
        <v>15000</v>
      </c>
      <c r="I250" s="43">
        <f>[1]Школы!GP32</f>
        <v>15000</v>
      </c>
      <c r="J250" s="43">
        <v>15000</v>
      </c>
    </row>
    <row r="251" spans="1:10" x14ac:dyDescent="0.2">
      <c r="A251" s="41"/>
      <c r="B251" s="26" t="s">
        <v>528</v>
      </c>
      <c r="C251" s="81">
        <v>400</v>
      </c>
      <c r="D251" s="81" t="s">
        <v>221</v>
      </c>
      <c r="E251" s="81" t="s">
        <v>376</v>
      </c>
      <c r="F251" s="81" t="s">
        <v>420</v>
      </c>
      <c r="G251" s="81" t="s">
        <v>499</v>
      </c>
      <c r="H251" s="43">
        <v>15000</v>
      </c>
      <c r="I251" s="43">
        <f>[1]Школы!GP30</f>
        <v>15000</v>
      </c>
      <c r="J251" s="43">
        <v>15000</v>
      </c>
    </row>
    <row r="252" spans="1:10" x14ac:dyDescent="0.2">
      <c r="A252" s="41"/>
      <c r="B252" s="34" t="s">
        <v>529</v>
      </c>
      <c r="C252" s="309">
        <v>400</v>
      </c>
      <c r="D252" s="187" t="s">
        <v>221</v>
      </c>
      <c r="E252" s="187" t="s">
        <v>376</v>
      </c>
      <c r="F252" s="187" t="s">
        <v>420</v>
      </c>
      <c r="G252" s="187" t="s">
        <v>499</v>
      </c>
      <c r="H252" s="42">
        <f>SUM(H227:H251)</f>
        <v>498000</v>
      </c>
      <c r="I252" s="42">
        <f>SUM(I227:I251)</f>
        <v>498000</v>
      </c>
      <c r="J252" s="42">
        <f>SUM(J227:J251)</f>
        <v>498000</v>
      </c>
    </row>
    <row r="253" spans="1:10" ht="15" x14ac:dyDescent="0.2">
      <c r="A253" s="41"/>
      <c r="B253" s="151" t="s">
        <v>434</v>
      </c>
      <c r="C253" s="65">
        <v>400</v>
      </c>
      <c r="D253" s="81" t="s">
        <v>220</v>
      </c>
      <c r="E253" s="81" t="s">
        <v>377</v>
      </c>
      <c r="F253" s="81" t="s">
        <v>420</v>
      </c>
      <c r="G253" s="81" t="s">
        <v>499</v>
      </c>
      <c r="H253" s="43">
        <v>18000</v>
      </c>
      <c r="I253" s="43">
        <f>'[1]Ясли сады'!EU10</f>
        <v>18000</v>
      </c>
      <c r="J253" s="43">
        <v>18000</v>
      </c>
    </row>
    <row r="254" spans="1:10" ht="15" x14ac:dyDescent="0.2">
      <c r="A254" s="41"/>
      <c r="B254" s="151" t="s">
        <v>435</v>
      </c>
      <c r="C254" s="65">
        <v>400</v>
      </c>
      <c r="D254" s="81" t="s">
        <v>220</v>
      </c>
      <c r="E254" s="81" t="s">
        <v>377</v>
      </c>
      <c r="F254" s="81" t="s">
        <v>420</v>
      </c>
      <c r="G254" s="81" t="s">
        <v>499</v>
      </c>
      <c r="H254" s="43">
        <v>18000</v>
      </c>
      <c r="I254" s="43">
        <f>'[1]Ясли сады'!EU11</f>
        <v>18000</v>
      </c>
      <c r="J254" s="43">
        <v>18000</v>
      </c>
    </row>
    <row r="255" spans="1:10" ht="15" x14ac:dyDescent="0.2">
      <c r="A255" s="41"/>
      <c r="B255" s="151" t="s">
        <v>436</v>
      </c>
      <c r="C255" s="65">
        <v>400</v>
      </c>
      <c r="D255" s="81" t="s">
        <v>220</v>
      </c>
      <c r="E255" s="81" t="s">
        <v>377</v>
      </c>
      <c r="F255" s="81" t="s">
        <v>420</v>
      </c>
      <c r="G255" s="81" t="s">
        <v>499</v>
      </c>
      <c r="H255" s="43">
        <v>18000</v>
      </c>
      <c r="I255" s="43">
        <f>'[1]Ясли сады'!EU17</f>
        <v>18000</v>
      </c>
      <c r="J255" s="43">
        <v>18000</v>
      </c>
    </row>
    <row r="256" spans="1:10" ht="15" x14ac:dyDescent="0.2">
      <c r="A256" s="41"/>
      <c r="B256" s="151" t="s">
        <v>530</v>
      </c>
      <c r="C256" s="65">
        <v>400</v>
      </c>
      <c r="D256" s="81" t="s">
        <v>220</v>
      </c>
      <c r="E256" s="81" t="s">
        <v>377</v>
      </c>
      <c r="F256" s="81" t="s">
        <v>420</v>
      </c>
      <c r="G256" s="81" t="s">
        <v>499</v>
      </c>
      <c r="H256" s="43">
        <v>18000</v>
      </c>
      <c r="I256" s="43">
        <f>'[1]Ясли сады'!EU12</f>
        <v>18000</v>
      </c>
      <c r="J256" s="43">
        <v>18000</v>
      </c>
    </row>
    <row r="257" spans="1:10" ht="15" x14ac:dyDescent="0.2">
      <c r="A257" s="41"/>
      <c r="B257" s="151" t="s">
        <v>445</v>
      </c>
      <c r="C257" s="65">
        <v>400</v>
      </c>
      <c r="D257" s="81" t="s">
        <v>220</v>
      </c>
      <c r="E257" s="81" t="s">
        <v>377</v>
      </c>
      <c r="F257" s="81" t="s">
        <v>420</v>
      </c>
      <c r="G257" s="81" t="s">
        <v>499</v>
      </c>
      <c r="H257" s="43">
        <v>18000</v>
      </c>
      <c r="I257" s="43">
        <f>'[1]Ясли сады'!EU9</f>
        <v>18000</v>
      </c>
      <c r="J257" s="43">
        <v>18000</v>
      </c>
    </row>
    <row r="258" spans="1:10" ht="15" x14ac:dyDescent="0.2">
      <c r="A258" s="41"/>
      <c r="B258" s="151" t="s">
        <v>531</v>
      </c>
      <c r="C258" s="65">
        <v>400</v>
      </c>
      <c r="D258" s="81" t="s">
        <v>220</v>
      </c>
      <c r="E258" s="81" t="s">
        <v>377</v>
      </c>
      <c r="F258" s="81" t="s">
        <v>420</v>
      </c>
      <c r="G258" s="81" t="s">
        <v>499</v>
      </c>
      <c r="H258" s="43">
        <v>15000</v>
      </c>
      <c r="I258" s="43">
        <f>'[1]Ясли сады'!EU23</f>
        <v>15000</v>
      </c>
      <c r="J258" s="43">
        <v>15000</v>
      </c>
    </row>
    <row r="259" spans="1:10" ht="15" x14ac:dyDescent="0.2">
      <c r="A259" s="41"/>
      <c r="B259" s="151" t="s">
        <v>417</v>
      </c>
      <c r="C259" s="65">
        <v>400</v>
      </c>
      <c r="D259" s="81" t="s">
        <v>220</v>
      </c>
      <c r="E259" s="81" t="s">
        <v>377</v>
      </c>
      <c r="F259" s="81" t="s">
        <v>420</v>
      </c>
      <c r="G259" s="81" t="s">
        <v>499</v>
      </c>
      <c r="H259" s="43">
        <v>15000</v>
      </c>
      <c r="I259" s="43">
        <f>'[1]Ясли сады'!EU15</f>
        <v>15000</v>
      </c>
      <c r="J259" s="43">
        <v>15000</v>
      </c>
    </row>
    <row r="260" spans="1:10" ht="15" x14ac:dyDescent="0.2">
      <c r="A260" s="41"/>
      <c r="B260" s="151" t="s">
        <v>532</v>
      </c>
      <c r="C260" s="65">
        <v>400</v>
      </c>
      <c r="D260" s="81" t="s">
        <v>220</v>
      </c>
      <c r="E260" s="81" t="s">
        <v>377</v>
      </c>
      <c r="F260" s="81" t="s">
        <v>420</v>
      </c>
      <c r="G260" s="81" t="s">
        <v>499</v>
      </c>
      <c r="H260" s="43">
        <v>15000</v>
      </c>
      <c r="I260" s="43">
        <f>'[1]Ясли сады'!EU22</f>
        <v>15000</v>
      </c>
      <c r="J260" s="43">
        <v>15000</v>
      </c>
    </row>
    <row r="261" spans="1:10" ht="15" x14ac:dyDescent="0.2">
      <c r="A261" s="41"/>
      <c r="B261" s="151" t="s">
        <v>437</v>
      </c>
      <c r="C261" s="65">
        <v>400</v>
      </c>
      <c r="D261" s="81" t="s">
        <v>220</v>
      </c>
      <c r="E261" s="81" t="s">
        <v>377</v>
      </c>
      <c r="F261" s="81" t="s">
        <v>420</v>
      </c>
      <c r="G261" s="81" t="s">
        <v>499</v>
      </c>
      <c r="H261" s="43">
        <v>15000</v>
      </c>
      <c r="I261" s="43">
        <f>'[1]Ясли сады'!EU21</f>
        <v>15000</v>
      </c>
      <c r="J261" s="43">
        <v>15000</v>
      </c>
    </row>
    <row r="262" spans="1:10" ht="15" x14ac:dyDescent="0.2">
      <c r="A262" s="41"/>
      <c r="B262" s="151" t="s">
        <v>533</v>
      </c>
      <c r="C262" s="65">
        <v>400</v>
      </c>
      <c r="D262" s="81" t="s">
        <v>220</v>
      </c>
      <c r="E262" s="81" t="s">
        <v>377</v>
      </c>
      <c r="F262" s="81" t="s">
        <v>420</v>
      </c>
      <c r="G262" s="81" t="s">
        <v>499</v>
      </c>
      <c r="H262" s="43">
        <v>15000</v>
      </c>
      <c r="I262" s="43">
        <f>'[1]Ясли сады'!EU19</f>
        <v>15000</v>
      </c>
      <c r="J262" s="43">
        <v>15000</v>
      </c>
    </row>
    <row r="263" spans="1:10" ht="15" x14ac:dyDescent="0.2">
      <c r="A263" s="41"/>
      <c r="B263" s="151" t="s">
        <v>438</v>
      </c>
      <c r="C263" s="65">
        <v>400</v>
      </c>
      <c r="D263" s="81" t="s">
        <v>220</v>
      </c>
      <c r="E263" s="81" t="s">
        <v>377</v>
      </c>
      <c r="F263" s="81" t="s">
        <v>420</v>
      </c>
      <c r="G263" s="81" t="s">
        <v>499</v>
      </c>
      <c r="H263" s="43">
        <v>15000</v>
      </c>
      <c r="I263" s="43">
        <f>'[1]Ясли сады'!EU8</f>
        <v>15000</v>
      </c>
      <c r="J263" s="43">
        <v>15000</v>
      </c>
    </row>
    <row r="264" spans="1:10" ht="15" x14ac:dyDescent="0.2">
      <c r="A264" s="41"/>
      <c r="B264" s="151" t="s">
        <v>534</v>
      </c>
      <c r="C264" s="65">
        <v>400</v>
      </c>
      <c r="D264" s="81" t="s">
        <v>220</v>
      </c>
      <c r="E264" s="81" t="s">
        <v>377</v>
      </c>
      <c r="F264" s="81" t="s">
        <v>420</v>
      </c>
      <c r="G264" s="81" t="s">
        <v>499</v>
      </c>
      <c r="H264" s="43">
        <v>15000</v>
      </c>
      <c r="I264" s="43">
        <f>'[1]Ясли сады'!EU14</f>
        <v>15000</v>
      </c>
      <c r="J264" s="43">
        <v>15000</v>
      </c>
    </row>
    <row r="265" spans="1:10" ht="15" x14ac:dyDescent="0.2">
      <c r="A265" s="41"/>
      <c r="B265" s="151" t="s">
        <v>439</v>
      </c>
      <c r="C265" s="65">
        <v>400</v>
      </c>
      <c r="D265" s="81" t="s">
        <v>220</v>
      </c>
      <c r="E265" s="81" t="s">
        <v>377</v>
      </c>
      <c r="F265" s="81" t="s">
        <v>420</v>
      </c>
      <c r="G265" s="81" t="s">
        <v>499</v>
      </c>
      <c r="H265" s="43">
        <v>15000</v>
      </c>
      <c r="I265" s="43">
        <f>'[1]Ясли сады'!EU20</f>
        <v>15000</v>
      </c>
      <c r="J265" s="43">
        <v>15000</v>
      </c>
    </row>
    <row r="266" spans="1:10" ht="15" x14ac:dyDescent="0.2">
      <c r="A266" s="41"/>
      <c r="B266" s="151" t="s">
        <v>440</v>
      </c>
      <c r="C266" s="65">
        <v>400</v>
      </c>
      <c r="D266" s="81" t="s">
        <v>220</v>
      </c>
      <c r="E266" s="81" t="s">
        <v>377</v>
      </c>
      <c r="F266" s="81" t="s">
        <v>420</v>
      </c>
      <c r="G266" s="81" t="s">
        <v>499</v>
      </c>
      <c r="H266" s="43">
        <v>15000</v>
      </c>
      <c r="I266" s="43">
        <f>'[1]Ясли сады'!EU7</f>
        <v>15000</v>
      </c>
      <c r="J266" s="43">
        <v>15000</v>
      </c>
    </row>
    <row r="267" spans="1:10" ht="15" x14ac:dyDescent="0.2">
      <c r="A267" s="41"/>
      <c r="B267" s="151" t="s">
        <v>418</v>
      </c>
      <c r="C267" s="65">
        <v>400</v>
      </c>
      <c r="D267" s="81" t="s">
        <v>220</v>
      </c>
      <c r="E267" s="81" t="s">
        <v>377</v>
      </c>
      <c r="F267" s="81" t="s">
        <v>420</v>
      </c>
      <c r="G267" s="81" t="s">
        <v>499</v>
      </c>
      <c r="H267" s="43">
        <v>15000</v>
      </c>
      <c r="I267" s="43">
        <f>'[1]Ясли сады'!EU18</f>
        <v>15000</v>
      </c>
      <c r="J267" s="43">
        <v>15000</v>
      </c>
    </row>
    <row r="268" spans="1:10" ht="15" x14ac:dyDescent="0.2">
      <c r="A268" s="41"/>
      <c r="B268" s="151" t="s">
        <v>535</v>
      </c>
      <c r="C268" s="65">
        <v>400</v>
      </c>
      <c r="D268" s="81" t="s">
        <v>220</v>
      </c>
      <c r="E268" s="81" t="s">
        <v>377</v>
      </c>
      <c r="F268" s="81" t="s">
        <v>420</v>
      </c>
      <c r="G268" s="81" t="s">
        <v>499</v>
      </c>
      <c r="H268" s="43">
        <v>18000</v>
      </c>
      <c r="I268" s="43">
        <f>'[1]Ясли сады'!EU13</f>
        <v>18000</v>
      </c>
      <c r="J268" s="43">
        <v>18000</v>
      </c>
    </row>
    <row r="269" spans="1:10" ht="14.25" x14ac:dyDescent="0.2">
      <c r="A269" s="41"/>
      <c r="B269" s="245" t="s">
        <v>536</v>
      </c>
      <c r="C269" s="309">
        <v>400</v>
      </c>
      <c r="D269" s="187" t="s">
        <v>220</v>
      </c>
      <c r="E269" s="187" t="s">
        <v>377</v>
      </c>
      <c r="F269" s="187" t="s">
        <v>420</v>
      </c>
      <c r="G269" s="187" t="s">
        <v>499</v>
      </c>
      <c r="H269" s="42">
        <f>SUM(H253:H268)</f>
        <v>258000</v>
      </c>
      <c r="I269" s="42">
        <f>SUM(I253:I268)</f>
        <v>258000</v>
      </c>
      <c r="J269" s="42">
        <f>SUM(J253:J268)</f>
        <v>258000</v>
      </c>
    </row>
    <row r="270" spans="1:10" ht="15" x14ac:dyDescent="0.2">
      <c r="A270" s="41"/>
      <c r="B270" s="151" t="s">
        <v>539</v>
      </c>
      <c r="C270" s="312">
        <v>992</v>
      </c>
      <c r="D270" s="81" t="s">
        <v>324</v>
      </c>
      <c r="E270" s="81" t="s">
        <v>483</v>
      </c>
      <c r="F270" s="65">
        <v>611</v>
      </c>
      <c r="G270" s="65">
        <v>241</v>
      </c>
      <c r="H270" s="43">
        <v>18000</v>
      </c>
      <c r="I270" s="43">
        <f>'[1]МБУ внешк учрежд'!DG8</f>
        <v>3000</v>
      </c>
      <c r="J270" s="43">
        <v>18000</v>
      </c>
    </row>
    <row r="271" spans="1:10" ht="15" x14ac:dyDescent="0.2">
      <c r="A271" s="41"/>
      <c r="B271" s="151" t="s">
        <v>540</v>
      </c>
      <c r="C271" s="312">
        <v>992</v>
      </c>
      <c r="D271" s="81" t="s">
        <v>324</v>
      </c>
      <c r="E271" s="81" t="s">
        <v>485</v>
      </c>
      <c r="F271" s="65">
        <v>611</v>
      </c>
      <c r="G271" s="65">
        <v>241</v>
      </c>
      <c r="H271" s="43">
        <v>20000</v>
      </c>
      <c r="I271" s="43">
        <f>'[1]МБУ внешк учрежд'!DG7</f>
        <v>3000</v>
      </c>
      <c r="J271" s="43">
        <v>20000</v>
      </c>
    </row>
    <row r="272" spans="1:10" ht="15" x14ac:dyDescent="0.2">
      <c r="A272" s="41"/>
      <c r="B272" s="151" t="s">
        <v>541</v>
      </c>
      <c r="C272" s="312">
        <v>992</v>
      </c>
      <c r="D272" s="81" t="s">
        <v>324</v>
      </c>
      <c r="E272" s="81" t="s">
        <v>484</v>
      </c>
      <c r="F272" s="65">
        <v>611</v>
      </c>
      <c r="G272" s="65">
        <v>241</v>
      </c>
      <c r="H272" s="43">
        <v>15000</v>
      </c>
      <c r="I272" s="43">
        <f>'[1]МБУ внешк учрежд'!DG6</f>
        <v>3000</v>
      </c>
      <c r="J272" s="43">
        <v>15000</v>
      </c>
    </row>
    <row r="273" spans="1:10" ht="15" x14ac:dyDescent="0.2">
      <c r="A273" s="41"/>
      <c r="B273" s="151" t="s">
        <v>515</v>
      </c>
      <c r="C273" s="312">
        <v>992</v>
      </c>
      <c r="D273" s="81" t="s">
        <v>324</v>
      </c>
      <c r="E273" s="81" t="s">
        <v>486</v>
      </c>
      <c r="F273" s="65">
        <v>611</v>
      </c>
      <c r="G273" s="65">
        <v>241</v>
      </c>
      <c r="H273" s="43">
        <v>15000</v>
      </c>
      <c r="I273" s="43">
        <f>'[1]МБУ внешк учрежд'!DG9</f>
        <v>3000</v>
      </c>
      <c r="J273" s="43">
        <v>15000</v>
      </c>
    </row>
    <row r="274" spans="1:10" x14ac:dyDescent="0.2">
      <c r="A274" s="41"/>
      <c r="B274" s="172" t="s">
        <v>586</v>
      </c>
      <c r="C274" s="309"/>
      <c r="D274" s="309"/>
      <c r="E274" s="309"/>
      <c r="F274" s="309"/>
      <c r="G274" s="309"/>
      <c r="H274" s="42">
        <f>SUM(H270:H273)</f>
        <v>68000</v>
      </c>
      <c r="I274" s="42">
        <f>SUM(I270:I273)</f>
        <v>12000</v>
      </c>
      <c r="J274" s="42">
        <f>SUM(J270:J273)</f>
        <v>68000</v>
      </c>
    </row>
    <row r="275" spans="1:10" x14ac:dyDescent="0.2">
      <c r="A275" s="41"/>
      <c r="B275" s="172" t="s">
        <v>587</v>
      </c>
      <c r="C275" s="309"/>
      <c r="D275" s="309"/>
      <c r="E275" s="309"/>
      <c r="F275" s="309"/>
      <c r="G275" s="309"/>
      <c r="H275" s="42">
        <f>SUM(H252,H269,H274)</f>
        <v>824000</v>
      </c>
      <c r="I275" s="42">
        <f>SUM(I252,I269,I274)</f>
        <v>768000</v>
      </c>
      <c r="J275" s="42">
        <f>SUM(J252,J269,J274)</f>
        <v>824000</v>
      </c>
    </row>
    <row r="276" spans="1:10" x14ac:dyDescent="0.2">
      <c r="A276" s="41"/>
      <c r="B276" s="250"/>
      <c r="C276" s="41"/>
      <c r="D276" s="41"/>
      <c r="E276" s="41"/>
      <c r="F276" s="41"/>
      <c r="G276" s="41"/>
      <c r="H276" s="253"/>
      <c r="I276" s="253"/>
      <c r="J276" s="253"/>
    </row>
    <row r="277" spans="1:10" x14ac:dyDescent="0.2">
      <c r="A277" s="41"/>
      <c r="B277" s="392" t="s">
        <v>588</v>
      </c>
      <c r="C277" s="392"/>
      <c r="D277" s="392"/>
      <c r="E277" s="392"/>
      <c r="F277" s="392"/>
      <c r="G277" s="392"/>
      <c r="H277" s="392"/>
      <c r="I277" s="392"/>
      <c r="J277" s="392"/>
    </row>
    <row r="278" spans="1:10" x14ac:dyDescent="0.2">
      <c r="A278" s="41"/>
      <c r="B278" s="250"/>
      <c r="C278" s="41"/>
      <c r="D278" s="41"/>
      <c r="E278" s="41"/>
      <c r="F278" s="41"/>
      <c r="G278" s="41"/>
      <c r="H278" s="253"/>
      <c r="I278" s="253"/>
      <c r="J278" s="253"/>
    </row>
    <row r="279" spans="1:10" ht="38.25" x14ac:dyDescent="0.2">
      <c r="A279" s="41"/>
      <c r="B279" s="251" t="s">
        <v>591</v>
      </c>
      <c r="C279" s="81" t="s">
        <v>197</v>
      </c>
      <c r="D279" s="81" t="s">
        <v>472</v>
      </c>
      <c r="E279" s="81" t="s">
        <v>378</v>
      </c>
      <c r="F279" s="81" t="s">
        <v>420</v>
      </c>
      <c r="G279" s="81" t="s">
        <v>498</v>
      </c>
      <c r="H279" s="43">
        <v>500000</v>
      </c>
      <c r="I279" s="43">
        <f>[1]Администрация!DS25</f>
        <v>1500000</v>
      </c>
      <c r="J279" s="43">
        <v>1500000</v>
      </c>
    </row>
    <row r="280" spans="1:10" x14ac:dyDescent="0.2">
      <c r="A280" s="41"/>
      <c r="B280" s="172" t="s">
        <v>589</v>
      </c>
      <c r="C280" s="187"/>
      <c r="D280" s="187"/>
      <c r="E280" s="187"/>
      <c r="F280" s="187"/>
      <c r="G280" s="187"/>
      <c r="H280" s="42">
        <f>SUM(H279)</f>
        <v>500000</v>
      </c>
      <c r="I280" s="42">
        <f>SUM(I279)</f>
        <v>1500000</v>
      </c>
      <c r="J280" s="42">
        <f>SUM(J279)</f>
        <v>1500000</v>
      </c>
    </row>
    <row r="281" spans="1:10" ht="25.5" x14ac:dyDescent="0.2">
      <c r="A281" s="41"/>
      <c r="B281" s="251" t="s">
        <v>593</v>
      </c>
      <c r="C281" s="81" t="s">
        <v>197</v>
      </c>
      <c r="D281" s="81" t="s">
        <v>472</v>
      </c>
      <c r="E281" s="81" t="s">
        <v>476</v>
      </c>
      <c r="F281" s="81" t="s">
        <v>420</v>
      </c>
      <c r="G281" s="81" t="s">
        <v>498</v>
      </c>
      <c r="H281" s="43">
        <v>210000</v>
      </c>
      <c r="I281" s="43">
        <v>0</v>
      </c>
      <c r="J281" s="43">
        <v>0</v>
      </c>
    </row>
    <row r="282" spans="1:10" x14ac:dyDescent="0.2">
      <c r="A282" s="41"/>
      <c r="B282" s="172" t="s">
        <v>592</v>
      </c>
      <c r="C282" s="187"/>
      <c r="D282" s="187"/>
      <c r="E282" s="187"/>
      <c r="F282" s="187"/>
      <c r="G282" s="187"/>
      <c r="H282" s="42">
        <f>SUM(H281)</f>
        <v>210000</v>
      </c>
      <c r="I282" s="42">
        <f>SUM(I281)</f>
        <v>0</v>
      </c>
      <c r="J282" s="42">
        <f>SUM(J281)</f>
        <v>0</v>
      </c>
    </row>
    <row r="283" spans="1:10" x14ac:dyDescent="0.2">
      <c r="A283" s="41"/>
      <c r="B283" s="172" t="s">
        <v>590</v>
      </c>
      <c r="C283" s="81"/>
      <c r="D283" s="81"/>
      <c r="E283" s="81"/>
      <c r="F283" s="81"/>
      <c r="G283" s="81"/>
      <c r="H283" s="42">
        <f>SUM(H280,H282)</f>
        <v>710000</v>
      </c>
      <c r="I283" s="42">
        <f>SUM(I280,I282)</f>
        <v>1500000</v>
      </c>
      <c r="J283" s="42">
        <f>SUM(J280,J282)</f>
        <v>1500000</v>
      </c>
    </row>
    <row r="285" spans="1:10" x14ac:dyDescent="0.2">
      <c r="B285" s="393" t="s">
        <v>578</v>
      </c>
      <c r="C285" s="393"/>
      <c r="D285" s="393"/>
      <c r="E285" s="393"/>
      <c r="F285" s="393"/>
      <c r="G285" s="393"/>
      <c r="H285" s="393"/>
    </row>
    <row r="286" spans="1:10" x14ac:dyDescent="0.2">
      <c r="B286" s="394"/>
      <c r="C286" s="394"/>
      <c r="D286" s="394"/>
      <c r="E286" s="394"/>
      <c r="F286" s="394"/>
      <c r="G286" s="394"/>
      <c r="H286" s="394"/>
    </row>
    <row r="287" spans="1:10" x14ac:dyDescent="0.2">
      <c r="B287" s="26" t="s">
        <v>103</v>
      </c>
      <c r="C287" s="26"/>
      <c r="D287" s="26"/>
      <c r="E287" s="26"/>
      <c r="F287" s="26"/>
      <c r="G287" s="26"/>
      <c r="H287" s="26"/>
      <c r="I287" s="26"/>
      <c r="J287" s="26"/>
    </row>
    <row r="288" spans="1:10" ht="54.75" customHeight="1" x14ac:dyDescent="0.2">
      <c r="B288" s="82" t="s">
        <v>372</v>
      </c>
      <c r="C288" s="81" t="s">
        <v>197</v>
      </c>
      <c r="D288" s="81" t="s">
        <v>154</v>
      </c>
      <c r="E288" s="81" t="s">
        <v>379</v>
      </c>
      <c r="F288" s="81" t="s">
        <v>420</v>
      </c>
      <c r="G288" s="81" t="s">
        <v>498</v>
      </c>
      <c r="H288" s="52">
        <v>190000</v>
      </c>
      <c r="I288" s="52">
        <f>[1]Администрация!DS15</f>
        <v>190000</v>
      </c>
      <c r="J288" s="26">
        <v>190000</v>
      </c>
    </row>
    <row r="289" spans="2:10" ht="45.75" customHeight="1" x14ac:dyDescent="0.2">
      <c r="B289" s="82" t="s">
        <v>373</v>
      </c>
      <c r="C289" s="81" t="s">
        <v>197</v>
      </c>
      <c r="D289" s="81" t="s">
        <v>154</v>
      </c>
      <c r="E289" s="81" t="s">
        <v>379</v>
      </c>
      <c r="F289" s="81" t="s">
        <v>420</v>
      </c>
      <c r="G289" s="81" t="s">
        <v>498</v>
      </c>
      <c r="H289" s="52">
        <v>120000</v>
      </c>
      <c r="I289" s="52">
        <v>0</v>
      </c>
      <c r="J289" s="26">
        <v>0</v>
      </c>
    </row>
    <row r="290" spans="2:10" ht="102" x14ac:dyDescent="0.2">
      <c r="B290" s="44" t="s">
        <v>374</v>
      </c>
      <c r="C290" s="81" t="s">
        <v>197</v>
      </c>
      <c r="D290" s="81" t="s">
        <v>154</v>
      </c>
      <c r="E290" s="81" t="s">
        <v>379</v>
      </c>
      <c r="F290" s="81" t="s">
        <v>420</v>
      </c>
      <c r="G290" s="81" t="s">
        <v>499</v>
      </c>
      <c r="H290" s="52">
        <v>0</v>
      </c>
      <c r="I290" s="52">
        <f>[1]Администрация!CQ15</f>
        <v>60000</v>
      </c>
      <c r="J290" s="26">
        <v>60000</v>
      </c>
    </row>
    <row r="291" spans="2:10" x14ac:dyDescent="0.2">
      <c r="B291" s="334" t="s">
        <v>26</v>
      </c>
      <c r="C291" s="187" t="s">
        <v>197</v>
      </c>
      <c r="D291" s="187" t="s">
        <v>154</v>
      </c>
      <c r="E291" s="335" t="s">
        <v>379</v>
      </c>
      <c r="F291" s="309">
        <v>244</v>
      </c>
      <c r="G291" s="309">
        <v>310</v>
      </c>
      <c r="H291" s="336">
        <f>SUM(H288:H290)</f>
        <v>310000</v>
      </c>
      <c r="I291" s="336">
        <f>SUM(I288:I290)</f>
        <v>250000</v>
      </c>
      <c r="J291" s="336">
        <f>SUM(J288:J290)</f>
        <v>250000</v>
      </c>
    </row>
    <row r="292" spans="2:10" x14ac:dyDescent="0.2">
      <c r="B292" s="334" t="s">
        <v>375</v>
      </c>
      <c r="C292" s="196"/>
      <c r="D292" s="196"/>
      <c r="E292" s="196"/>
      <c r="F292" s="196"/>
      <c r="G292" s="196"/>
      <c r="H292" s="84">
        <f>SUM(H35,H94,H108,H159,H164,H169,H213,H291,H223,H275,H283)</f>
        <v>2877400</v>
      </c>
      <c r="I292" s="84">
        <f>SUM(I35,I94,I108,I159,I164,I169,I213,I291,I223,I275,I283)</f>
        <v>3157700</v>
      </c>
      <c r="J292" s="84">
        <f>SUM(J35,J94,J108,J159,J164,J169,J213,J291,J223,J275,J283)</f>
        <v>3527100</v>
      </c>
    </row>
  </sheetData>
  <mergeCells count="30">
    <mergeCell ref="A7:H7"/>
    <mergeCell ref="B1:J1"/>
    <mergeCell ref="A2:J2"/>
    <mergeCell ref="A3:J3"/>
    <mergeCell ref="A5:H5"/>
    <mergeCell ref="A6:H6"/>
    <mergeCell ref="A110:J110"/>
    <mergeCell ref="B161:J161"/>
    <mergeCell ref="A166:J166"/>
    <mergeCell ref="A171:H171"/>
    <mergeCell ref="A8:H8"/>
    <mergeCell ref="A14:J14"/>
    <mergeCell ref="A15:J15"/>
    <mergeCell ref="A12:J12"/>
    <mergeCell ref="A13:J13"/>
    <mergeCell ref="F16:F17"/>
    <mergeCell ref="G16:G17"/>
    <mergeCell ref="H16:J16"/>
    <mergeCell ref="A37:J37"/>
    <mergeCell ref="A96:J96"/>
    <mergeCell ref="A16:A17"/>
    <mergeCell ref="B16:B17"/>
    <mergeCell ref="C16:C17"/>
    <mergeCell ref="D16:D17"/>
    <mergeCell ref="E16:E17"/>
    <mergeCell ref="B215:J215"/>
    <mergeCell ref="B225:J225"/>
    <mergeCell ref="B277:J277"/>
    <mergeCell ref="B285:H285"/>
    <mergeCell ref="B286:H286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D70"/>
  <sheetViews>
    <sheetView zoomScaleNormal="100" workbookViewId="0">
      <selection activeCell="B36" sqref="B36"/>
    </sheetView>
  </sheetViews>
  <sheetFormatPr defaultRowHeight="33" customHeight="1" x14ac:dyDescent="0.2"/>
  <cols>
    <col min="1" max="1" width="5.140625" customWidth="1"/>
    <col min="2" max="2" width="57.7109375" customWidth="1"/>
    <col min="3" max="3" width="19.5703125" customWidth="1"/>
    <col min="4" max="4" width="18.5703125" customWidth="1"/>
  </cols>
  <sheetData>
    <row r="1" spans="1:4" s="21" customFormat="1" ht="18" customHeight="1" x14ac:dyDescent="0.2">
      <c r="B1" s="126"/>
      <c r="C1" s="127" t="s">
        <v>819</v>
      </c>
      <c r="D1" s="112"/>
    </row>
    <row r="2" spans="1:4" s="21" customFormat="1" ht="13.5" customHeight="1" x14ac:dyDescent="0.2">
      <c r="B2" s="405" t="s">
        <v>81</v>
      </c>
      <c r="C2" s="405"/>
      <c r="D2" s="112"/>
    </row>
    <row r="3" spans="1:4" s="21" customFormat="1" ht="12" customHeight="1" x14ac:dyDescent="0.2">
      <c r="B3" s="126"/>
      <c r="C3" s="128" t="s">
        <v>868</v>
      </c>
      <c r="D3" s="112"/>
    </row>
    <row r="4" spans="1:4" s="21" customFormat="1" ht="33" customHeight="1" x14ac:dyDescent="0.2">
      <c r="B4" s="392" t="s">
        <v>820</v>
      </c>
      <c r="C4" s="392"/>
    </row>
    <row r="5" spans="1:4" s="21" customFormat="1" ht="16.5" customHeight="1" thickBot="1" x14ac:dyDescent="0.25">
      <c r="C5" s="68"/>
    </row>
    <row r="6" spans="1:4" s="21" customFormat="1" ht="33" customHeight="1" x14ac:dyDescent="0.2">
      <c r="A6" s="406" t="s">
        <v>45</v>
      </c>
      <c r="B6" s="409" t="s">
        <v>279</v>
      </c>
      <c r="C6" s="412" t="s">
        <v>96</v>
      </c>
    </row>
    <row r="7" spans="1:4" s="21" customFormat="1" ht="3.75" customHeight="1" x14ac:dyDescent="0.2">
      <c r="A7" s="407"/>
      <c r="B7" s="410"/>
      <c r="C7" s="413"/>
    </row>
    <row r="8" spans="1:4" s="21" customFormat="1" ht="33" hidden="1" customHeight="1" x14ac:dyDescent="0.2">
      <c r="A8" s="407"/>
      <c r="B8" s="410"/>
      <c r="C8" s="413"/>
    </row>
    <row r="9" spans="1:4" s="21" customFormat="1" ht="33" hidden="1" customHeight="1" x14ac:dyDescent="0.2">
      <c r="A9" s="408"/>
      <c r="B9" s="411"/>
      <c r="C9" s="414"/>
    </row>
    <row r="10" spans="1:4" s="21" customFormat="1" ht="33" hidden="1" customHeight="1" x14ac:dyDescent="0.2">
      <c r="A10" s="48">
        <f>'[1]МБУ ЖКХ'!A6</f>
        <v>0</v>
      </c>
      <c r="B10" s="30">
        <f>'[1]МБУ ЖКХ'!B6</f>
        <v>0</v>
      </c>
      <c r="C10" s="157">
        <f>'[1]МБУ ЖКХ'!DH6</f>
        <v>0</v>
      </c>
      <c r="D10" s="95"/>
    </row>
    <row r="11" spans="1:4" s="21" customFormat="1" ht="33" hidden="1" customHeight="1" x14ac:dyDescent="0.2">
      <c r="A11" s="48"/>
      <c r="B11" s="30">
        <f>'[1]МБУ ЖКХ'!B7</f>
        <v>0</v>
      </c>
      <c r="C11" s="157">
        <f>'[1]МБУ ЖКХ'!DH7</f>
        <v>0</v>
      </c>
    </row>
    <row r="12" spans="1:4" s="21" customFormat="1" ht="33" hidden="1" customHeight="1" x14ac:dyDescent="0.2">
      <c r="A12" s="48"/>
      <c r="B12" s="30">
        <f>'[1]МБУ ЖКХ'!B8</f>
        <v>0</v>
      </c>
      <c r="C12" s="157">
        <f>'[1]МБУ ЖКХ'!DH8</f>
        <v>0</v>
      </c>
    </row>
    <row r="13" spans="1:4" s="21" customFormat="1" ht="33" customHeight="1" x14ac:dyDescent="0.2">
      <c r="A13" s="48"/>
      <c r="B13" s="30" t="s">
        <v>821</v>
      </c>
      <c r="C13" s="157">
        <f>C14</f>
        <v>11419424.97277</v>
      </c>
    </row>
    <row r="14" spans="1:4" s="21" customFormat="1" ht="33" customHeight="1" x14ac:dyDescent="0.2">
      <c r="A14" s="48">
        <f>'[1]МБУ ЖКХ'!A10</f>
        <v>1</v>
      </c>
      <c r="B14" s="30" t="s">
        <v>595</v>
      </c>
      <c r="C14" s="157">
        <f>'[1]МБУ ЖКХ'!DH10</f>
        <v>11419424.97277</v>
      </c>
    </row>
    <row r="15" spans="1:4" s="21" customFormat="1" ht="33" customHeight="1" x14ac:dyDescent="0.2">
      <c r="A15" s="48"/>
      <c r="B15" s="30" t="str">
        <f>'[1]МБУ ЖКХ'!B13</f>
        <v>на составление проектно-сметной документации</v>
      </c>
      <c r="C15" s="157">
        <f>'[1]МБУ ЖКХ'!DI13</f>
        <v>991448</v>
      </c>
    </row>
    <row r="16" spans="1:4" s="21" customFormat="1" ht="33" hidden="1" customHeight="1" x14ac:dyDescent="0.2">
      <c r="A16" s="48"/>
      <c r="B16" s="30"/>
      <c r="C16" s="157"/>
    </row>
    <row r="17" spans="1:3" s="21" customFormat="1" ht="33" hidden="1" customHeight="1" x14ac:dyDescent="0.2">
      <c r="A17" s="48"/>
      <c r="B17" s="30"/>
      <c r="C17" s="157"/>
    </row>
    <row r="18" spans="1:3" s="21" customFormat="1" ht="33" hidden="1" customHeight="1" x14ac:dyDescent="0.2">
      <c r="A18" s="48"/>
      <c r="B18" s="30">
        <f>'[1]МБУ ЖКХ'!B14</f>
        <v>0</v>
      </c>
      <c r="C18" s="157">
        <f>'[1]МБУ ЖКХ'!DI14</f>
        <v>0</v>
      </c>
    </row>
    <row r="19" spans="1:3" s="21" customFormat="1" ht="33" hidden="1" customHeight="1" x14ac:dyDescent="0.2">
      <c r="A19" s="48"/>
      <c r="B19" s="30">
        <f>'[1]МБУ ЖКХ'!B15</f>
        <v>0</v>
      </c>
      <c r="C19" s="157">
        <f>'[1]МБУ ЖКХ'!DI15</f>
        <v>0</v>
      </c>
    </row>
    <row r="20" spans="1:3" s="21" customFormat="1" ht="33" hidden="1" customHeight="1" x14ac:dyDescent="0.2">
      <c r="A20" s="48"/>
      <c r="B20" s="30">
        <f>'[1]МБУ ЖКХ'!B16</f>
        <v>0</v>
      </c>
      <c r="C20" s="157">
        <f>'[1]МБУ ЖКХ'!DI16</f>
        <v>0</v>
      </c>
    </row>
    <row r="21" spans="1:3" s="21" customFormat="1" ht="33" hidden="1" customHeight="1" x14ac:dyDescent="0.2">
      <c r="A21" s="48"/>
      <c r="B21" s="30">
        <f>'[1]МБУ ЖКХ'!B17</f>
        <v>0</v>
      </c>
      <c r="C21" s="157">
        <f>'[1]МБУ ЖКХ'!DI17</f>
        <v>0</v>
      </c>
    </row>
    <row r="22" spans="1:3" s="21" customFormat="1" ht="33" hidden="1" customHeight="1" x14ac:dyDescent="0.2">
      <c r="A22" s="48"/>
      <c r="B22" s="30" t="str">
        <f>'[1]МБУ ЖКХ'!B18</f>
        <v>Иные субсидии</v>
      </c>
      <c r="C22" s="157">
        <f>'[1]МБУ ЖКХ'!DI18</f>
        <v>991448</v>
      </c>
    </row>
    <row r="23" spans="1:3" s="21" customFormat="1" ht="33" customHeight="1" x14ac:dyDescent="0.2">
      <c r="A23" s="48"/>
      <c r="B23" s="30" t="str">
        <f>'[1]МБУ ЖКХ'!B19</f>
        <v>Водоснабжение общественные краны и водоотведение</v>
      </c>
      <c r="C23" s="157">
        <f>'[1]МБУ ЖКХ'!DH19</f>
        <v>624019</v>
      </c>
    </row>
    <row r="24" spans="1:3" s="21" customFormat="1" ht="33" customHeight="1" x14ac:dyDescent="0.2">
      <c r="A24" s="48"/>
      <c r="B24" s="30" t="str">
        <f>'[1]МБУ ЖКХ'!B20</f>
        <v>Водоотведение</v>
      </c>
      <c r="C24" s="157">
        <f>'[1]МБУ ЖКХ'!DH20</f>
        <v>221202</v>
      </c>
    </row>
    <row r="25" spans="1:3" s="21" customFormat="1" ht="33" hidden="1" customHeight="1" x14ac:dyDescent="0.2">
      <c r="A25" s="48"/>
      <c r="B25" s="30">
        <f>'[1]МБУ ЖКХ'!B21</f>
        <v>0</v>
      </c>
      <c r="C25" s="157">
        <f>'[1]МБУ ЖКХ'!DH21</f>
        <v>0</v>
      </c>
    </row>
    <row r="26" spans="1:3" s="21" customFormat="1" ht="33" customHeight="1" x14ac:dyDescent="0.2">
      <c r="A26" s="48"/>
      <c r="B26" s="30" t="str">
        <f>'[1]МБУ ЖКХ'!B22</f>
        <v>Обслуживание сетей ливневой канализации  с.Ботлих</v>
      </c>
      <c r="C26" s="157">
        <f>'[1]МБУ ЖКХ'!DH22</f>
        <v>200000</v>
      </c>
    </row>
    <row r="27" spans="1:3" s="21" customFormat="1" ht="33" hidden="1" customHeight="1" x14ac:dyDescent="0.2">
      <c r="A27" s="48"/>
      <c r="B27" s="30">
        <f>'[1]МБУ ЖКХ'!B23</f>
        <v>0</v>
      </c>
      <c r="C27" s="157">
        <f>'[1]МБУ ЖКХ'!DI23</f>
        <v>0</v>
      </c>
    </row>
    <row r="28" spans="1:3" s="21" customFormat="1" ht="33" hidden="1" customHeight="1" x14ac:dyDescent="0.2">
      <c r="A28" s="48"/>
      <c r="B28" s="30">
        <f>'[1]МБУ ЖКХ'!B24</f>
        <v>0</v>
      </c>
      <c r="C28" s="157">
        <f>'[1]МБУ ЖКХ'!DI24</f>
        <v>0</v>
      </c>
    </row>
    <row r="29" spans="1:3" s="21" customFormat="1" ht="33" hidden="1" customHeight="1" x14ac:dyDescent="0.2">
      <c r="A29" s="48"/>
      <c r="B29" s="30">
        <f>'[1]МБУ ЖКХ'!B25</f>
        <v>0</v>
      </c>
      <c r="C29" s="157">
        <f>'[1]МБУ ЖКХ'!DI25</f>
        <v>0</v>
      </c>
    </row>
    <row r="30" spans="1:3" s="21" customFormat="1" ht="33" hidden="1" customHeight="1" x14ac:dyDescent="0.2">
      <c r="A30" s="48"/>
      <c r="B30" s="30">
        <f>'[1]МБУ ЖКХ'!B26</f>
        <v>0</v>
      </c>
      <c r="C30" s="157">
        <f>'[1]МБУ ЖКХ'!DI26</f>
        <v>0</v>
      </c>
    </row>
    <row r="31" spans="1:3" s="21" customFormat="1" ht="33" hidden="1" customHeight="1" x14ac:dyDescent="0.2">
      <c r="A31" s="48"/>
      <c r="B31" s="30">
        <f>'[1]МБУ ЖКХ'!B27</f>
        <v>0</v>
      </c>
      <c r="C31" s="157">
        <f>'[1]МБУ ЖКХ'!DI27</f>
        <v>0</v>
      </c>
    </row>
    <row r="32" spans="1:3" s="21" customFormat="1" ht="33" hidden="1" customHeight="1" x14ac:dyDescent="0.2">
      <c r="A32" s="48"/>
      <c r="B32" s="30">
        <f>'[1]МБУ ЖКХ'!B28</f>
        <v>0</v>
      </c>
      <c r="C32" s="157">
        <f>'[1]МБУ ЖКХ'!DI28</f>
        <v>0</v>
      </c>
    </row>
    <row r="33" spans="1:3" s="21" customFormat="1" ht="33" hidden="1" customHeight="1" x14ac:dyDescent="0.2">
      <c r="A33" s="48"/>
      <c r="B33" s="30" t="str">
        <f>'[1]МБУ ЖКХ'!B29</f>
        <v>Иные субсидии</v>
      </c>
      <c r="C33" s="157"/>
    </row>
    <row r="34" spans="1:3" s="21" customFormat="1" ht="33" hidden="1" customHeight="1" x14ac:dyDescent="0.2">
      <c r="A34" s="48"/>
      <c r="B34" s="30">
        <f>'[1]МБУ ЖКХ'!B30</f>
        <v>0</v>
      </c>
      <c r="C34" s="157">
        <f>'[1]МБУ ЖКХ'!DI30</f>
        <v>0</v>
      </c>
    </row>
    <row r="35" spans="1:3" s="21" customFormat="1" ht="33" hidden="1" customHeight="1" x14ac:dyDescent="0.2">
      <c r="A35" s="48"/>
      <c r="B35" s="30">
        <f>'[1]МБУ ЖКХ'!B31</f>
        <v>0</v>
      </c>
      <c r="C35" s="157">
        <f>'[1]МБУ ЖКХ'!DI31</f>
        <v>0</v>
      </c>
    </row>
    <row r="36" spans="1:3" s="21" customFormat="1" ht="33" customHeight="1" x14ac:dyDescent="0.2">
      <c r="A36" s="48"/>
      <c r="B36" s="30" t="str">
        <f>'[1]МБУ ЖКХ'!B32</f>
        <v>ИТОГО</v>
      </c>
      <c r="C36" s="157">
        <f>'[1]МБУ ЖКХ'!DH29</f>
        <v>1045221</v>
      </c>
    </row>
    <row r="37" spans="1:3" s="21" customFormat="1" ht="33" customHeight="1" x14ac:dyDescent="0.2">
      <c r="A37" s="48"/>
      <c r="B37" s="30" t="str">
        <f>'[1]МБУ ЖКХ'!B33</f>
        <v>Уборка улиц</v>
      </c>
      <c r="C37" s="157">
        <f>'[1]МБУ ЖКХ'!DH33</f>
        <v>4621020</v>
      </c>
    </row>
    <row r="38" spans="1:3" s="21" customFormat="1" ht="33" customHeight="1" x14ac:dyDescent="0.2">
      <c r="A38" s="48"/>
      <c r="B38" s="30" t="str">
        <f>'[1]МБУ ЖКХ'!B34</f>
        <v>Уличное освещение</v>
      </c>
      <c r="C38" s="157">
        <f>'[1]МБУ ЖКХ'!DH34</f>
        <v>1433604</v>
      </c>
    </row>
    <row r="39" spans="1:3" s="21" customFormat="1" ht="33" customHeight="1" x14ac:dyDescent="0.2">
      <c r="A39" s="48"/>
      <c r="B39" s="30" t="str">
        <f>'[1]МБУ ЖКХ'!B35</f>
        <v>Оплата электроэнергии</v>
      </c>
      <c r="C39" s="157">
        <f>'[1]МБУ ЖКХ'!DH35</f>
        <v>2747520</v>
      </c>
    </row>
    <row r="40" spans="1:3" s="21" customFormat="1" ht="33" hidden="1" customHeight="1" x14ac:dyDescent="0.2">
      <c r="A40" s="48"/>
      <c r="B40" s="30">
        <f>'[1]МБУ ЖКХ'!B36</f>
        <v>0</v>
      </c>
      <c r="C40" s="157">
        <f>'[1]МБУ ЖКХ'!DH36</f>
        <v>0</v>
      </c>
    </row>
    <row r="41" spans="1:3" s="21" customFormat="1" ht="33" customHeight="1" x14ac:dyDescent="0.2">
      <c r="A41" s="48"/>
      <c r="B41" s="30" t="str">
        <f>'[1]МБУ ЖКХ'!B37</f>
        <v>ИТОГО</v>
      </c>
      <c r="C41" s="157">
        <f>'[1]МБУ ЖКХ'!DH37</f>
        <v>8802144</v>
      </c>
    </row>
    <row r="42" spans="1:3" s="21" customFormat="1" ht="33" hidden="1" customHeight="1" x14ac:dyDescent="0.2">
      <c r="A42" s="48"/>
      <c r="B42" s="30" t="str">
        <f>'[1]МБУ ЖКХ'!B40</f>
        <v>Иные субсидии</v>
      </c>
      <c r="C42" s="157">
        <f>'[1]МБУ ЖКХ'!DI40</f>
        <v>0</v>
      </c>
    </row>
    <row r="43" spans="1:3" s="21" customFormat="1" ht="33" customHeight="1" x14ac:dyDescent="0.2">
      <c r="A43" s="48"/>
      <c r="B43" s="30" t="str">
        <f>'[1]МБУ ЖКХ'!B41</f>
        <v>Благоустройство общественной площадки по программе КГС с.Ботлих</v>
      </c>
      <c r="C43" s="157">
        <f>'[1]МБУ ЖКХ'!DI41</f>
        <v>11573191.362444444</v>
      </c>
    </row>
    <row r="44" spans="1:3" s="21" customFormat="1" ht="33" customHeight="1" x14ac:dyDescent="0.2">
      <c r="A44" s="48"/>
      <c r="B44" s="30" t="str">
        <f>'[1]МБУ ЖКХ'!B42</f>
        <v>Благоустройство общественной площадки по программе КГС с.Ансалта</v>
      </c>
      <c r="C44" s="157">
        <f>'[1]МБУ ЖКХ'!DI42</f>
        <v>5113171.8944444442</v>
      </c>
    </row>
    <row r="45" spans="1:3" s="21" customFormat="1" ht="33" customHeight="1" x14ac:dyDescent="0.2">
      <c r="A45" s="48"/>
      <c r="B45" s="30" t="str">
        <f>'[1]МБУ ЖКХ'!B43</f>
        <v>Благоустройство общественной площадки по программе КГС с.Анди</v>
      </c>
      <c r="C45" s="157">
        <f>'[1]МБУ ЖКХ'!DI43</f>
        <v>6898955</v>
      </c>
    </row>
    <row r="46" spans="1:3" s="21" customFormat="1" ht="33" hidden="1" customHeight="1" x14ac:dyDescent="0.2">
      <c r="A46" s="48"/>
      <c r="B46" s="30" t="str">
        <f>'[1]МБУ ЖКХ'!B44</f>
        <v>На составление ПСД и дизайнерское оформление</v>
      </c>
      <c r="C46" s="157">
        <f>'[1]МБУ ЖКХ'!DI44</f>
        <v>0</v>
      </c>
    </row>
    <row r="47" spans="1:3" s="21" customFormat="1" ht="33" customHeight="1" x14ac:dyDescent="0.2">
      <c r="A47" s="48"/>
      <c r="B47" s="30" t="str">
        <f>'[1]МБУ ЖКХ'!B45</f>
        <v>ИТОГО-Комфортная городская среда</v>
      </c>
      <c r="C47" s="157">
        <f>'[1]МБУ ЖКХ'!DI45</f>
        <v>23585318.256888889</v>
      </c>
    </row>
    <row r="48" spans="1:3" s="21" customFormat="1" ht="33" customHeight="1" x14ac:dyDescent="0.2">
      <c r="A48" s="48"/>
      <c r="B48" s="30" t="str">
        <f>'[1]МБУ ЖКХ'!B46</f>
        <v>Софинансирование проекта местных инициатив (райбюджет) Водоснабжение с.Ботлих Ботлихского района</v>
      </c>
      <c r="C48" s="157">
        <f>'[1]МБУ ЖКХ'!DI46</f>
        <v>2030000</v>
      </c>
    </row>
    <row r="49" spans="1:3" s="21" customFormat="1" ht="33" customHeight="1" x14ac:dyDescent="0.2">
      <c r="A49" s="48"/>
      <c r="B49" s="30" t="str">
        <f>'[1]МБУ ЖКХ'!B47</f>
        <v>На ремонт водопровода в местности "Тимпоч" с.Ботлих</v>
      </c>
      <c r="C49" s="157">
        <f>'[1]МБУ ЖКХ'!DI47</f>
        <v>120632.75</v>
      </c>
    </row>
    <row r="50" spans="1:3" s="21" customFormat="1" ht="33" customHeight="1" x14ac:dyDescent="0.2">
      <c r="A50" s="48"/>
      <c r="B50" s="30" t="str">
        <f>'[1]МБУ ЖКХ'!B48</f>
        <v>На составление ПСД и дизайнерское оформление</v>
      </c>
      <c r="C50" s="157">
        <f>'[1]МБУ ЖКХ'!DI48</f>
        <v>210000</v>
      </c>
    </row>
    <row r="51" spans="1:3" s="21" customFormat="1" ht="33" customHeight="1" x14ac:dyDescent="0.2">
      <c r="A51" s="48"/>
      <c r="B51" s="30" t="str">
        <f>'[1]МБУ ЖКХ'!B49</f>
        <v>Итого проект местных инициавтив (райбюджет)</v>
      </c>
      <c r="C51" s="157">
        <f>'[1]МБУ ЖКХ'!DI49</f>
        <v>2360632.75</v>
      </c>
    </row>
    <row r="52" spans="1:3" s="21" customFormat="1" ht="33" customHeight="1" x14ac:dyDescent="0.2">
      <c r="A52" s="48"/>
      <c r="B52" s="30" t="str">
        <f>'[1]МБУ ЖКХ'!B50</f>
        <v>Программа "Мой Дагестан - Мои дороги</v>
      </c>
      <c r="C52" s="157">
        <f>'[1]МБУ ЖКХ'!DI50</f>
        <v>14894939.094736842</v>
      </c>
    </row>
    <row r="53" spans="1:3" s="21" customFormat="1" ht="33" hidden="1" customHeight="1" x14ac:dyDescent="0.2">
      <c r="A53" s="48"/>
      <c r="B53" s="30">
        <f>'[1]МБУ ЖКХ'!B51</f>
        <v>0</v>
      </c>
      <c r="C53" s="157">
        <f>'[1]МБУ ЖКХ'!DI51</f>
        <v>0</v>
      </c>
    </row>
    <row r="54" spans="1:3" s="21" customFormat="1" ht="33" hidden="1" customHeight="1" x14ac:dyDescent="0.2">
      <c r="A54" s="48"/>
      <c r="B54" s="30">
        <f>'[1]МБУ ЖКХ'!B52</f>
        <v>0</v>
      </c>
      <c r="C54" s="157">
        <f>'[1]МБУ ЖКХ'!DI52</f>
        <v>0</v>
      </c>
    </row>
    <row r="55" spans="1:3" s="21" customFormat="1" ht="33" hidden="1" customHeight="1" x14ac:dyDescent="0.2">
      <c r="A55" s="48"/>
      <c r="B55" s="30">
        <f>'[1]МБУ ЖКХ'!B53</f>
        <v>0</v>
      </c>
      <c r="C55" s="157">
        <f>'[1]МБУ ЖКХ'!DI53</f>
        <v>0</v>
      </c>
    </row>
    <row r="56" spans="1:3" s="21" customFormat="1" ht="33" hidden="1" customHeight="1" x14ac:dyDescent="0.2">
      <c r="A56" s="48"/>
      <c r="B56" s="30">
        <f>'[1]МБУ ЖКХ'!B54</f>
        <v>0</v>
      </c>
      <c r="C56" s="157">
        <f>'[1]МБУ ЖКХ'!DI54</f>
        <v>0</v>
      </c>
    </row>
    <row r="57" spans="1:3" s="21" customFormat="1" ht="33" customHeight="1" x14ac:dyDescent="0.2">
      <c r="A57" s="48"/>
      <c r="B57" s="30" t="str">
        <f>'[1]МБУ ЖКХ'!B55</f>
        <v>Итого по программе</v>
      </c>
      <c r="C57" s="157">
        <f>'[1]МБУ ЖКХ'!DI55</f>
        <v>14894939.094736842</v>
      </c>
    </row>
    <row r="58" spans="1:3" s="21" customFormat="1" ht="33" customHeight="1" x14ac:dyDescent="0.2">
      <c r="A58" s="48"/>
      <c r="B58" s="30" t="str">
        <f>'[1]МБУ ЖКХ'!B56</f>
        <v>Акцизы</v>
      </c>
      <c r="C58" s="157">
        <f>'[1]МБУ ЖКХ'!DI56</f>
        <v>40541316</v>
      </c>
    </row>
    <row r="59" spans="1:3" s="21" customFormat="1" ht="33" hidden="1" customHeight="1" x14ac:dyDescent="0.2">
      <c r="A59" s="48"/>
      <c r="B59" s="30">
        <f>'[1]МБУ ЖКХ'!B57</f>
        <v>0</v>
      </c>
      <c r="C59" s="157">
        <f>'[1]МБУ ЖКХ'!DI57</f>
        <v>0</v>
      </c>
    </row>
    <row r="60" spans="1:3" s="21" customFormat="1" ht="33" hidden="1" customHeight="1" x14ac:dyDescent="0.2">
      <c r="A60" s="48"/>
      <c r="B60" s="30">
        <f>'[1]МБУ ЖКХ'!B58</f>
        <v>0</v>
      </c>
      <c r="C60" s="157">
        <f>'[1]МБУ ЖКХ'!DI58</f>
        <v>0</v>
      </c>
    </row>
    <row r="61" spans="1:3" s="21" customFormat="1" ht="33" hidden="1" customHeight="1" x14ac:dyDescent="0.2">
      <c r="A61" s="48"/>
      <c r="B61" s="30">
        <f>'[1]МБУ ЖКХ'!B59</f>
        <v>0</v>
      </c>
      <c r="C61" s="157">
        <f>'[1]МБУ ЖКХ'!DI59</f>
        <v>0</v>
      </c>
    </row>
    <row r="62" spans="1:3" s="21" customFormat="1" ht="33" hidden="1" customHeight="1" x14ac:dyDescent="0.2">
      <c r="A62" s="48"/>
      <c r="B62" s="30">
        <f>'[1]МБУ ЖКХ'!B60</f>
        <v>0</v>
      </c>
      <c r="C62" s="157">
        <f>'[1]МБУ ЖКХ'!DI60</f>
        <v>0</v>
      </c>
    </row>
    <row r="63" spans="1:3" s="21" customFormat="1" ht="33" hidden="1" customHeight="1" x14ac:dyDescent="0.2">
      <c r="A63" s="48"/>
      <c r="B63" s="30">
        <f>'[1]МБУ ЖКХ'!B61</f>
        <v>0</v>
      </c>
      <c r="C63" s="157">
        <f>'[1]МБУ ЖКХ'!DI61</f>
        <v>0</v>
      </c>
    </row>
    <row r="64" spans="1:3" s="21" customFormat="1" ht="33" hidden="1" customHeight="1" x14ac:dyDescent="0.2">
      <c r="A64" s="48"/>
      <c r="B64" s="30">
        <f>'[1]МБУ ЖКХ'!B62</f>
        <v>0</v>
      </c>
      <c r="C64" s="157">
        <f>'[1]МБУ ЖКХ'!DI62</f>
        <v>0</v>
      </c>
    </row>
    <row r="65" spans="1:3" s="21" customFormat="1" ht="33" hidden="1" customHeight="1" x14ac:dyDescent="0.2">
      <c r="A65" s="48"/>
      <c r="B65" s="30">
        <f>'[1]МБУ ЖКХ'!B63</f>
        <v>0</v>
      </c>
      <c r="C65" s="157">
        <f>'[1]МБУ ЖКХ'!DI63</f>
        <v>0</v>
      </c>
    </row>
    <row r="66" spans="1:3" s="21" customFormat="1" ht="33" customHeight="1" x14ac:dyDescent="0.2">
      <c r="A66" s="48"/>
      <c r="B66" s="30" t="str">
        <f>'[1]МБУ ЖКХ'!B64</f>
        <v>ИТОГО Акцизы</v>
      </c>
      <c r="C66" s="157">
        <f>'[1]МБУ ЖКХ'!DI64</f>
        <v>40541316</v>
      </c>
    </row>
    <row r="67" spans="1:3" s="21" customFormat="1" ht="33" hidden="1" customHeight="1" x14ac:dyDescent="0.2">
      <c r="A67" s="48"/>
      <c r="B67" s="30" t="str">
        <f>'[1]МБУ ЖКХ'!B65</f>
        <v xml:space="preserve">Расходы на ремонт дорог за счет дотации </v>
      </c>
      <c r="C67" s="157">
        <f>'[1]МБУ ЖКХ'!DI65</f>
        <v>0</v>
      </c>
    </row>
    <row r="68" spans="1:3" ht="33" customHeight="1" x14ac:dyDescent="0.2">
      <c r="A68" s="48"/>
      <c r="B68" s="30" t="str">
        <f>'[1]МБУ ЖКХ'!B66</f>
        <v>Отлов и содержание бездомных животных</v>
      </c>
      <c r="C68" s="157">
        <f>'[1]МБУ ЖКХ'!DI66</f>
        <v>200000</v>
      </c>
    </row>
    <row r="69" spans="1:3" ht="33" customHeight="1" x14ac:dyDescent="0.2">
      <c r="A69" s="48"/>
      <c r="B69" s="30" t="str">
        <f>'[1]МБУ ЖКХ'!B67</f>
        <v>Итого</v>
      </c>
      <c r="C69" s="157">
        <f>'[1]МБУ ЖКХ'!DI67</f>
        <v>200000</v>
      </c>
    </row>
    <row r="70" spans="1:3" ht="33" customHeight="1" x14ac:dyDescent="0.2">
      <c r="A70" s="48"/>
      <c r="B70" s="30" t="str">
        <f>'[1]МБУ ЖКХ'!B68</f>
        <v>ВСЕГО по ЖКХ</v>
      </c>
      <c r="C70" s="157">
        <f>SUM(C14,C47,C52,C66,C15,C36,C41)</f>
        <v>101279811.32439573</v>
      </c>
    </row>
  </sheetData>
  <mergeCells count="5">
    <mergeCell ref="B2:C2"/>
    <mergeCell ref="B4:C4"/>
    <mergeCell ref="A6:A9"/>
    <mergeCell ref="B6:B9"/>
    <mergeCell ref="C6:C9"/>
  </mergeCells>
  <pageMargins left="0.19685039370078741" right="0" top="0" bottom="0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C40"/>
  <sheetViews>
    <sheetView zoomScaleNormal="100" workbookViewId="0">
      <selection activeCell="B33" sqref="B33"/>
    </sheetView>
  </sheetViews>
  <sheetFormatPr defaultRowHeight="14.25" customHeight="1" x14ac:dyDescent="0.2"/>
  <cols>
    <col min="1" max="1" width="5.140625" customWidth="1"/>
    <col min="2" max="2" width="49.42578125" customWidth="1"/>
    <col min="3" max="3" width="13.5703125" customWidth="1"/>
  </cols>
  <sheetData>
    <row r="1" spans="1:3" s="21" customFormat="1" ht="14.25" customHeight="1" x14ac:dyDescent="0.2">
      <c r="B1" s="126"/>
      <c r="C1" s="127" t="s">
        <v>822</v>
      </c>
    </row>
    <row r="2" spans="1:3" s="21" customFormat="1" ht="14.25" customHeight="1" x14ac:dyDescent="0.2">
      <c r="B2" s="405" t="s">
        <v>81</v>
      </c>
      <c r="C2" s="405"/>
    </row>
    <row r="3" spans="1:3" s="21" customFormat="1" ht="14.25" customHeight="1" x14ac:dyDescent="0.2">
      <c r="B3" s="405" t="s">
        <v>869</v>
      </c>
      <c r="C3" s="405"/>
    </row>
    <row r="4" spans="1:3" s="21" customFormat="1" ht="14.25" customHeight="1" x14ac:dyDescent="0.2">
      <c r="B4" s="126"/>
      <c r="C4" s="128"/>
    </row>
    <row r="5" spans="1:3" s="21" customFormat="1" ht="14.25" customHeight="1" x14ac:dyDescent="0.2">
      <c r="A5" s="21" t="s">
        <v>33</v>
      </c>
      <c r="B5" s="392" t="s">
        <v>823</v>
      </c>
      <c r="C5" s="392"/>
    </row>
    <row r="6" spans="1:3" s="21" customFormat="1" ht="14.25" customHeight="1" x14ac:dyDescent="0.2">
      <c r="B6" s="392" t="s">
        <v>33</v>
      </c>
      <c r="C6" s="392"/>
    </row>
    <row r="7" spans="1:3" s="21" customFormat="1" ht="14.25" customHeight="1" x14ac:dyDescent="0.2">
      <c r="C7" s="41"/>
    </row>
    <row r="8" spans="1:3" s="21" customFormat="1" ht="14.25" customHeight="1" x14ac:dyDescent="0.2">
      <c r="A8" s="374" t="s">
        <v>45</v>
      </c>
      <c r="B8" s="415" t="s">
        <v>279</v>
      </c>
      <c r="C8" s="362" t="s">
        <v>96</v>
      </c>
    </row>
    <row r="9" spans="1:3" s="21" customFormat="1" ht="14.25" customHeight="1" x14ac:dyDescent="0.2">
      <c r="A9" s="374"/>
      <c r="B9" s="415"/>
      <c r="C9" s="362"/>
    </row>
    <row r="10" spans="1:3" s="21" customFormat="1" ht="14.25" customHeight="1" x14ac:dyDescent="0.2">
      <c r="A10" s="374"/>
      <c r="B10" s="415"/>
      <c r="C10" s="362"/>
    </row>
    <row r="11" spans="1:3" s="21" customFormat="1" ht="14.25" customHeight="1" x14ac:dyDescent="0.2">
      <c r="A11" s="374"/>
      <c r="B11" s="415"/>
      <c r="C11" s="362"/>
    </row>
    <row r="12" spans="1:3" s="21" customFormat="1" ht="14.25" customHeight="1" x14ac:dyDescent="0.2">
      <c r="A12" s="374"/>
      <c r="B12" s="415"/>
      <c r="C12" s="362"/>
    </row>
    <row r="13" spans="1:3" s="21" customFormat="1" ht="14.25" customHeight="1" x14ac:dyDescent="0.2">
      <c r="A13" s="48">
        <v>1</v>
      </c>
      <c r="B13" s="30" t="s">
        <v>595</v>
      </c>
      <c r="C13" s="106">
        <f>'[1]МБУ ЦБ'!DJ6</f>
        <v>3393525.6</v>
      </c>
    </row>
    <row r="14" spans="1:3" s="21" customFormat="1" ht="14.25" customHeight="1" x14ac:dyDescent="0.2">
      <c r="A14" s="48">
        <v>2</v>
      </c>
      <c r="B14" s="266" t="s">
        <v>298</v>
      </c>
      <c r="C14" s="106">
        <f>'[1]МБУ ЦБ'!DK6</f>
        <v>0</v>
      </c>
    </row>
    <row r="15" spans="1:3" s="21" customFormat="1" ht="14.25" hidden="1" customHeight="1" x14ac:dyDescent="0.2">
      <c r="A15" s="48"/>
      <c r="B15" s="160" t="s">
        <v>103</v>
      </c>
      <c r="C15" s="106"/>
    </row>
    <row r="16" spans="1:3" s="21" customFormat="1" ht="14.25" hidden="1" customHeight="1" x14ac:dyDescent="0.2">
      <c r="A16" s="48" t="s">
        <v>33</v>
      </c>
      <c r="B16" s="166"/>
      <c r="C16" s="106"/>
    </row>
    <row r="17" spans="1:3" s="21" customFormat="1" ht="14.25" hidden="1" customHeight="1" x14ac:dyDescent="0.2">
      <c r="A17" s="48" t="s">
        <v>33</v>
      </c>
      <c r="B17" s="30"/>
      <c r="C17" s="106"/>
    </row>
    <row r="18" spans="1:3" s="21" customFormat="1" ht="14.25" hidden="1" customHeight="1" x14ac:dyDescent="0.2">
      <c r="A18" s="48" t="s">
        <v>33</v>
      </c>
      <c r="B18" s="30"/>
      <c r="C18" s="106"/>
    </row>
    <row r="19" spans="1:3" s="21" customFormat="1" ht="14.25" hidden="1" customHeight="1" x14ac:dyDescent="0.2">
      <c r="A19" s="48"/>
      <c r="B19" s="30"/>
      <c r="C19" s="106"/>
    </row>
    <row r="20" spans="1:3" s="21" customFormat="1" ht="15.75" hidden="1" customHeight="1" x14ac:dyDescent="0.2">
      <c r="A20" s="48"/>
      <c r="B20" s="30"/>
      <c r="C20" s="106"/>
    </row>
    <row r="21" spans="1:3" s="21" customFormat="1" ht="15.75" hidden="1" customHeight="1" x14ac:dyDescent="0.2">
      <c r="A21" s="48"/>
      <c r="B21" s="30"/>
      <c r="C21" s="106"/>
    </row>
    <row r="22" spans="1:3" s="21" customFormat="1" ht="13.5" hidden="1" customHeight="1" x14ac:dyDescent="0.2">
      <c r="A22" s="48"/>
      <c r="B22" s="30"/>
      <c r="C22" s="106"/>
    </row>
    <row r="23" spans="1:3" s="21" customFormat="1" ht="13.5" hidden="1" customHeight="1" x14ac:dyDescent="0.2">
      <c r="A23" s="48"/>
      <c r="B23" s="30"/>
      <c r="C23" s="106"/>
    </row>
    <row r="24" spans="1:3" s="21" customFormat="1" ht="18" hidden="1" customHeight="1" x14ac:dyDescent="0.2">
      <c r="A24" s="48"/>
      <c r="B24" s="30"/>
      <c r="C24" s="106"/>
    </row>
    <row r="25" spans="1:3" s="21" customFormat="1" ht="15.75" hidden="1" customHeight="1" x14ac:dyDescent="0.2">
      <c r="A25" s="48"/>
      <c r="B25" s="30"/>
      <c r="C25" s="106"/>
    </row>
    <row r="26" spans="1:3" s="21" customFormat="1" ht="11.25" hidden="1" customHeight="1" x14ac:dyDescent="0.2">
      <c r="A26" s="48"/>
      <c r="B26" s="30"/>
      <c r="C26" s="106"/>
    </row>
    <row r="27" spans="1:3" s="21" customFormat="1" ht="14.25" customHeight="1" x14ac:dyDescent="0.2">
      <c r="A27" s="364" t="s">
        <v>131</v>
      </c>
      <c r="B27" s="364"/>
      <c r="C27" s="42">
        <f>SUM(C13,C14)</f>
        <v>3393525.6</v>
      </c>
    </row>
    <row r="28" spans="1:3" s="38" customFormat="1" ht="14.25" customHeight="1" x14ac:dyDescent="0.2">
      <c r="C28" s="21"/>
    </row>
    <row r="29" spans="1:3" s="21" customFormat="1" ht="14.25" customHeight="1" x14ac:dyDescent="0.2"/>
    <row r="30" spans="1:3" s="21" customFormat="1" ht="14.25" customHeight="1" x14ac:dyDescent="0.2"/>
    <row r="31" spans="1:3" s="21" customFormat="1" ht="14.25" customHeight="1" x14ac:dyDescent="0.2"/>
    <row r="32" spans="1:3" s="21" customFormat="1" ht="14.25" customHeight="1" x14ac:dyDescent="0.2"/>
    <row r="33" s="21" customFormat="1" ht="14.25" customHeight="1" x14ac:dyDescent="0.2"/>
    <row r="34" s="21" customFormat="1" ht="14.25" customHeight="1" x14ac:dyDescent="0.2"/>
    <row r="35" s="21" customFormat="1" ht="14.25" customHeight="1" x14ac:dyDescent="0.2"/>
    <row r="36" s="21" customFormat="1" ht="14.25" customHeight="1" x14ac:dyDescent="0.2"/>
    <row r="37" s="21" customFormat="1" ht="14.25" customHeight="1" x14ac:dyDescent="0.2"/>
    <row r="38" s="21" customFormat="1" ht="14.25" customHeight="1" x14ac:dyDescent="0.2"/>
    <row r="39" customFormat="1" ht="14.25" customHeight="1" x14ac:dyDescent="0.2"/>
    <row r="40" customFormat="1" ht="14.25" customHeight="1" x14ac:dyDescent="0.2"/>
  </sheetData>
  <mergeCells count="8">
    <mergeCell ref="A27:B27"/>
    <mergeCell ref="B5:C5"/>
    <mergeCell ref="B2:C2"/>
    <mergeCell ref="B3:C3"/>
    <mergeCell ref="B6:C6"/>
    <mergeCell ref="A8:A12"/>
    <mergeCell ref="B8:B12"/>
    <mergeCell ref="C8:C12"/>
  </mergeCells>
  <pageMargins left="0.7" right="0.7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55"/>
  <sheetViews>
    <sheetView zoomScaleNormal="100" workbookViewId="0">
      <selection activeCell="C42" sqref="C42"/>
    </sheetView>
  </sheetViews>
  <sheetFormatPr defaultColWidth="8.7109375" defaultRowHeight="12.75" x14ac:dyDescent="0.2"/>
  <cols>
    <col min="1" max="1" width="3.42578125" style="114" customWidth="1"/>
    <col min="2" max="2" width="50.7109375" style="114" customWidth="1"/>
    <col min="3" max="3" width="10.7109375" style="114" customWidth="1"/>
    <col min="4" max="4" width="18.5703125" style="114" customWidth="1"/>
    <col min="5" max="16384" width="8.7109375" style="114"/>
  </cols>
  <sheetData>
    <row r="1" spans="1:4" s="95" customFormat="1" x14ac:dyDescent="0.2">
      <c r="B1" s="419" t="s">
        <v>824</v>
      </c>
      <c r="C1" s="419"/>
      <c r="D1" s="224"/>
    </row>
    <row r="2" spans="1:4" s="95" customFormat="1" x14ac:dyDescent="0.2">
      <c r="B2" s="419" t="s">
        <v>81</v>
      </c>
      <c r="C2" s="419"/>
      <c r="D2" s="224"/>
    </row>
    <row r="3" spans="1:4" s="95" customFormat="1" x14ac:dyDescent="0.2">
      <c r="B3" s="419" t="s">
        <v>870</v>
      </c>
      <c r="C3" s="419"/>
      <c r="D3" s="224"/>
    </row>
    <row r="4" spans="1:4" s="95" customFormat="1" x14ac:dyDescent="0.2">
      <c r="A4" s="95" t="s">
        <v>33</v>
      </c>
      <c r="B4" s="418" t="s">
        <v>825</v>
      </c>
      <c r="C4" s="418"/>
    </row>
    <row r="5" spans="1:4" s="95" customFormat="1" x14ac:dyDescent="0.2">
      <c r="B5" s="418" t="s">
        <v>33</v>
      </c>
      <c r="C5" s="418"/>
    </row>
    <row r="6" spans="1:4" s="95" customFormat="1" x14ac:dyDescent="0.2">
      <c r="C6" s="158"/>
    </row>
    <row r="7" spans="1:4" s="95" customFormat="1" x14ac:dyDescent="0.2">
      <c r="A7" s="416" t="s">
        <v>45</v>
      </c>
      <c r="B7" s="417" t="s">
        <v>399</v>
      </c>
      <c r="C7" s="417" t="s">
        <v>96</v>
      </c>
    </row>
    <row r="8" spans="1:4" s="95" customFormat="1" ht="21" customHeight="1" x14ac:dyDescent="0.2">
      <c r="A8" s="416"/>
      <c r="B8" s="417"/>
      <c r="C8" s="417"/>
    </row>
    <row r="9" spans="1:4" s="95" customFormat="1" ht="12.75" customHeight="1" x14ac:dyDescent="0.2">
      <c r="A9" s="416"/>
      <c r="B9" s="417"/>
      <c r="C9" s="417"/>
    </row>
    <row r="10" spans="1:4" s="95" customFormat="1" ht="13.7" customHeight="1" x14ac:dyDescent="0.2">
      <c r="A10" s="416"/>
      <c r="B10" s="417"/>
      <c r="C10" s="417"/>
    </row>
    <row r="11" spans="1:4" s="95" customFormat="1" ht="19.5" customHeight="1" x14ac:dyDescent="0.2">
      <c r="A11" s="416"/>
      <c r="B11" s="417"/>
      <c r="C11" s="417"/>
    </row>
    <row r="12" spans="1:4" s="95" customFormat="1" ht="15.75" customHeight="1" x14ac:dyDescent="0.2">
      <c r="A12" s="225">
        <v>1</v>
      </c>
      <c r="B12" s="226" t="s">
        <v>348</v>
      </c>
      <c r="C12" s="146"/>
    </row>
    <row r="13" spans="1:4" s="95" customFormat="1" ht="13.5" customHeight="1" x14ac:dyDescent="0.2">
      <c r="A13" s="146"/>
      <c r="B13" s="171" t="s">
        <v>280</v>
      </c>
      <c r="C13" s="227">
        <f>SUM('[1]МБУ внешк учрежд'!DP6)</f>
        <v>8197555.1035023034</v>
      </c>
    </row>
    <row r="14" spans="1:4" s="95" customFormat="1" ht="15.75" customHeight="1" x14ac:dyDescent="0.2">
      <c r="A14" s="146"/>
      <c r="B14" s="171" t="s">
        <v>298</v>
      </c>
      <c r="C14" s="227">
        <f>SUM('[1]МБУ внешк учрежд'!DQ6)</f>
        <v>0</v>
      </c>
    </row>
    <row r="15" spans="1:4" s="95" customFormat="1" ht="15.75" customHeight="1" x14ac:dyDescent="0.2">
      <c r="A15" s="146"/>
      <c r="B15" s="166" t="s">
        <v>131</v>
      </c>
      <c r="C15" s="227">
        <f>SUM(C13,C14)</f>
        <v>8197555.1035023034</v>
      </c>
    </row>
    <row r="16" spans="1:4" s="95" customFormat="1" ht="11.25" customHeight="1" x14ac:dyDescent="0.2">
      <c r="A16" s="146">
        <v>2</v>
      </c>
      <c r="B16" s="226" t="s">
        <v>349</v>
      </c>
      <c r="C16" s="227"/>
      <c r="D16" s="95" t="s">
        <v>33</v>
      </c>
    </row>
    <row r="17" spans="1:3" s="95" customFormat="1" x14ac:dyDescent="0.2">
      <c r="A17" s="146"/>
      <c r="B17" s="171" t="s">
        <v>280</v>
      </c>
      <c r="C17" s="227">
        <f>SUM('[1]МБУ внешк учрежд'!DP7)</f>
        <v>9264938.5656807199</v>
      </c>
    </row>
    <row r="18" spans="1:3" s="95" customFormat="1" x14ac:dyDescent="0.2">
      <c r="A18" s="146"/>
      <c r="B18" s="171" t="s">
        <v>298</v>
      </c>
      <c r="C18" s="227">
        <f>SUM('[1]МБУ внешк учрежд'!DQ7)</f>
        <v>0</v>
      </c>
    </row>
    <row r="19" spans="1:3" s="95" customFormat="1" x14ac:dyDescent="0.2">
      <c r="A19" s="146"/>
      <c r="B19" s="166" t="s">
        <v>131</v>
      </c>
      <c r="C19" s="227">
        <f>SUM(C17,C18)</f>
        <v>9264938.5656807199</v>
      </c>
    </row>
    <row r="20" spans="1:3" s="95" customFormat="1" x14ac:dyDescent="0.2">
      <c r="A20" s="146">
        <v>3</v>
      </c>
      <c r="B20" s="226" t="s">
        <v>350</v>
      </c>
      <c r="C20" s="227"/>
    </row>
    <row r="21" spans="1:3" s="95" customFormat="1" x14ac:dyDescent="0.2">
      <c r="A21" s="146"/>
      <c r="B21" s="171" t="s">
        <v>280</v>
      </c>
      <c r="C21" s="227">
        <f>SUM('[1]МБУ внешк учрежд'!DP8)</f>
        <v>20316550.190638825</v>
      </c>
    </row>
    <row r="22" spans="1:3" s="95" customFormat="1" x14ac:dyDescent="0.2">
      <c r="A22" s="146"/>
      <c r="B22" s="171" t="s">
        <v>298</v>
      </c>
      <c r="C22" s="227">
        <f>SUM('[1]МБУ внешк учрежд'!DQ8)</f>
        <v>0</v>
      </c>
    </row>
    <row r="23" spans="1:3" s="95" customFormat="1" x14ac:dyDescent="0.2">
      <c r="A23" s="146"/>
      <c r="B23" s="166" t="s">
        <v>131</v>
      </c>
      <c r="C23" s="227">
        <f>SUM(C21,C22)</f>
        <v>20316550.190638825</v>
      </c>
    </row>
    <row r="24" spans="1:3" s="95" customFormat="1" x14ac:dyDescent="0.2">
      <c r="A24" s="146">
        <v>4</v>
      </c>
      <c r="B24" s="226" t="s">
        <v>351</v>
      </c>
      <c r="C24" s="227"/>
    </row>
    <row r="25" spans="1:3" s="95" customFormat="1" x14ac:dyDescent="0.2">
      <c r="A25" s="146"/>
      <c r="B25" s="171" t="s">
        <v>280</v>
      </c>
      <c r="C25" s="227">
        <f>SUM('[1]МБУ внешк учрежд'!DP9)</f>
        <v>7714407.1335819624</v>
      </c>
    </row>
    <row r="26" spans="1:3" s="95" customFormat="1" x14ac:dyDescent="0.2">
      <c r="A26" s="146"/>
      <c r="B26" s="171" t="s">
        <v>298</v>
      </c>
      <c r="C26" s="227">
        <f>SUM('[1]МБУ внешк учрежд'!DQ9)</f>
        <v>0</v>
      </c>
    </row>
    <row r="27" spans="1:3" s="95" customFormat="1" x14ac:dyDescent="0.2">
      <c r="A27" s="146"/>
      <c r="B27" s="166" t="s">
        <v>131</v>
      </c>
      <c r="C27" s="227">
        <f>SUM(C25,C26)</f>
        <v>7714407.1335819624</v>
      </c>
    </row>
    <row r="28" spans="1:3" s="95" customFormat="1" x14ac:dyDescent="0.2">
      <c r="A28" s="146">
        <v>5</v>
      </c>
      <c r="B28" s="226" t="s">
        <v>826</v>
      </c>
      <c r="C28" s="227"/>
    </row>
    <row r="29" spans="1:3" s="95" customFormat="1" x14ac:dyDescent="0.2">
      <c r="A29" s="146"/>
      <c r="B29" s="171" t="s">
        <v>280</v>
      </c>
      <c r="C29" s="227">
        <f>SUM('[1]МБУ внешк учрежд'!DP10)</f>
        <v>14979734.006596187</v>
      </c>
    </row>
    <row r="30" spans="1:3" s="95" customFormat="1" x14ac:dyDescent="0.2">
      <c r="A30" s="146"/>
      <c r="B30" s="171" t="s">
        <v>298</v>
      </c>
      <c r="C30" s="227">
        <f>SUM('[1]МБУ внешк учрежд'!DQ10)</f>
        <v>51475.724999999999</v>
      </c>
    </row>
    <row r="31" spans="1:3" s="95" customFormat="1" x14ac:dyDescent="0.2">
      <c r="A31" s="146"/>
      <c r="B31" s="166" t="s">
        <v>131</v>
      </c>
      <c r="C31" s="227">
        <f>SUM(C29:C30)</f>
        <v>15031209.731596187</v>
      </c>
    </row>
    <row r="32" spans="1:3" s="95" customFormat="1" x14ac:dyDescent="0.2">
      <c r="A32" s="146">
        <v>6</v>
      </c>
      <c r="B32" s="166" t="s">
        <v>598</v>
      </c>
      <c r="C32" s="227"/>
    </row>
    <row r="33" spans="1:5" s="95" customFormat="1" x14ac:dyDescent="0.2">
      <c r="A33" s="146"/>
      <c r="B33" s="166" t="s">
        <v>599</v>
      </c>
      <c r="C33" s="227">
        <f>'[1]МКУ "ФУ"'!DC21</f>
        <v>11271111</v>
      </c>
    </row>
    <row r="34" spans="1:5" s="95" customFormat="1" x14ac:dyDescent="0.2">
      <c r="A34" s="146"/>
      <c r="B34" s="171" t="s">
        <v>827</v>
      </c>
      <c r="C34" s="227">
        <v>62448</v>
      </c>
    </row>
    <row r="35" spans="1:5" s="95" customFormat="1" x14ac:dyDescent="0.2">
      <c r="A35" s="146"/>
      <c r="B35" s="171" t="s">
        <v>828</v>
      </c>
      <c r="C35" s="227">
        <v>62447</v>
      </c>
    </row>
    <row r="36" spans="1:5" s="95" customFormat="1" x14ac:dyDescent="0.2">
      <c r="A36" s="146"/>
      <c r="B36" s="171" t="s">
        <v>829</v>
      </c>
      <c r="C36" s="227">
        <v>62447</v>
      </c>
    </row>
    <row r="37" spans="1:5" s="95" customFormat="1" x14ac:dyDescent="0.2">
      <c r="A37" s="146"/>
      <c r="B37" s="171" t="s">
        <v>830</v>
      </c>
      <c r="C37" s="227">
        <v>62447</v>
      </c>
    </row>
    <row r="38" spans="1:5" s="95" customFormat="1" x14ac:dyDescent="0.2">
      <c r="A38" s="146"/>
      <c r="B38" s="166" t="s">
        <v>415</v>
      </c>
      <c r="C38" s="227">
        <f>SUM(C34:C37)</f>
        <v>249789</v>
      </c>
    </row>
    <row r="39" spans="1:5" s="95" customFormat="1" x14ac:dyDescent="0.2">
      <c r="A39" s="146"/>
      <c r="B39" s="166" t="s">
        <v>600</v>
      </c>
      <c r="C39" s="227">
        <f>SUM(C33,C38)</f>
        <v>11520900</v>
      </c>
    </row>
    <row r="40" spans="1:5" s="95" customFormat="1" x14ac:dyDescent="0.2">
      <c r="A40" s="146"/>
      <c r="B40" s="166" t="s">
        <v>352</v>
      </c>
      <c r="C40" s="227">
        <f>SUM(C13,C17,C21,C25,C29)</f>
        <v>60473184.999999993</v>
      </c>
      <c r="E40" s="95" t="s">
        <v>33</v>
      </c>
    </row>
    <row r="41" spans="1:5" s="95" customFormat="1" x14ac:dyDescent="0.2">
      <c r="A41" s="146"/>
      <c r="B41" s="166" t="s">
        <v>353</v>
      </c>
      <c r="C41" s="227">
        <f>SUM(C14,C18,C22,C26,C30)</f>
        <v>51475.724999999999</v>
      </c>
    </row>
    <row r="42" spans="1:5" s="95" customFormat="1" x14ac:dyDescent="0.2">
      <c r="A42" s="150"/>
      <c r="B42" s="150" t="s">
        <v>354</v>
      </c>
      <c r="C42" s="228">
        <f>SUM(C39,C40,C41)</f>
        <v>72045560.724999994</v>
      </c>
    </row>
    <row r="43" spans="1:5" s="159" customFormat="1" x14ac:dyDescent="0.2">
      <c r="C43" s="97"/>
    </row>
    <row r="44" spans="1:5" s="95" customFormat="1" x14ac:dyDescent="0.2"/>
    <row r="45" spans="1:5" s="95" customFormat="1" x14ac:dyDescent="0.2"/>
    <row r="46" spans="1:5" s="95" customFormat="1" x14ac:dyDescent="0.2"/>
    <row r="47" spans="1:5" s="95" customFormat="1" x14ac:dyDescent="0.2"/>
    <row r="48" spans="1:5" s="95" customFormat="1" x14ac:dyDescent="0.2"/>
    <row r="49" s="95" customFormat="1" x14ac:dyDescent="0.2"/>
    <row r="50" s="95" customFormat="1" x14ac:dyDescent="0.2"/>
    <row r="51" s="95" customFormat="1" x14ac:dyDescent="0.2"/>
    <row r="52" s="95" customFormat="1" x14ac:dyDescent="0.2"/>
    <row r="53" s="95" customFormat="1" x14ac:dyDescent="0.2"/>
    <row r="54" s="114" customFormat="1" x14ac:dyDescent="0.2"/>
    <row r="55" s="114" customFormat="1" x14ac:dyDescent="0.2"/>
  </sheetData>
  <mergeCells count="8">
    <mergeCell ref="A7:A11"/>
    <mergeCell ref="B7:B11"/>
    <mergeCell ref="C7:C11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scale="84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21</vt:i4>
      </vt:variant>
    </vt:vector>
  </HeadingPairs>
  <TitlesOfParts>
    <vt:vector size="43" baseType="lpstr">
      <vt:lpstr>Доходы прил №1</vt:lpstr>
      <vt:lpstr>ВСРБМР прил №2</vt:lpstr>
      <vt:lpstr>расшифр 1 к №2</vt:lpstr>
      <vt:lpstr>РазПодр прил №3 </vt:lpstr>
      <vt:lpstr>межбюд тран.№4</vt:lpstr>
      <vt:lpstr>Муниц программа прил №6</vt:lpstr>
      <vt:lpstr>МБУ ЖКХ прил №7</vt:lpstr>
      <vt:lpstr>МБУ ЦБ прил №8</vt:lpstr>
      <vt:lpstr>МБУ внеш учр прил  №9</vt:lpstr>
      <vt:lpstr>Смета дох и расх по дор фон №10</vt:lpstr>
      <vt:lpstr>Публ. объяз №11</vt:lpstr>
      <vt:lpstr>смета резер №12</vt:lpstr>
      <vt:lpstr> Гостандарт прил №13 </vt:lpstr>
      <vt:lpstr> компенс части род плат №14</vt:lpstr>
      <vt:lpstr>Налоги посел №15</vt:lpstr>
      <vt:lpstr>Оценка прил №16</vt:lpstr>
      <vt:lpstr>Субв пос на перед полн прил №17</vt:lpstr>
      <vt:lpstr> ВУС прил №18</vt:lpstr>
      <vt:lpstr>Дотация пос прил №19</vt:lpstr>
      <vt:lpstr> классное руководство прил №20</vt:lpstr>
      <vt:lpstr>  пит уч на дом обуч прил №21</vt:lpstr>
      <vt:lpstr>Прил №22  Пит уча 1 4кл </vt:lpstr>
      <vt:lpstr>'  пит уч на дом обуч прил №21'!Область_печати</vt:lpstr>
      <vt:lpstr>' ВУС прил №18'!Область_печати</vt:lpstr>
      <vt:lpstr>' Гостандарт прил №13 '!Область_печати</vt:lpstr>
      <vt:lpstr>' классное руководство прил №20'!Область_печати</vt:lpstr>
      <vt:lpstr>' компенс части род плат №14'!Область_печати</vt:lpstr>
      <vt:lpstr>'ВСРБМР прил №2'!Область_печати</vt:lpstr>
      <vt:lpstr>'Дотация пос прил №19'!Область_печати</vt:lpstr>
      <vt:lpstr>'Доходы прил №1'!Область_печати</vt:lpstr>
      <vt:lpstr>'МБУ внеш учр прил  №9'!Область_печати</vt:lpstr>
      <vt:lpstr>'МБУ ЖКХ прил №7'!Область_печати</vt:lpstr>
      <vt:lpstr>'МБУ ЦБ прил №8'!Область_печати</vt:lpstr>
      <vt:lpstr>'межбюд тран.№4'!Область_печати</vt:lpstr>
      <vt:lpstr>'Муниц программа прил №6'!Область_печати</vt:lpstr>
      <vt:lpstr>'Налоги посел №15'!Область_печати</vt:lpstr>
      <vt:lpstr>'Оценка прил №16'!Область_печати</vt:lpstr>
      <vt:lpstr>'Прил №22  Пит уча 1 4кл '!Область_печати</vt:lpstr>
      <vt:lpstr>'Публ. объяз №11'!Область_печати</vt:lpstr>
      <vt:lpstr>'РазПодр прил №3 '!Область_печати</vt:lpstr>
      <vt:lpstr>'расшифр 1 к №2'!Область_печати</vt:lpstr>
      <vt:lpstr>'Смета дох и расх по дор фон №10'!Область_печати</vt:lpstr>
      <vt:lpstr>'Субв пос на перед полн прил №17'!Область_печати</vt:lpstr>
    </vt:vector>
  </TitlesOfParts>
  <Company>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Мусалаев</dc:creator>
  <cp:lastModifiedBy>Шарип</cp:lastModifiedBy>
  <cp:lastPrinted>2024-01-01T16:19:09Z</cp:lastPrinted>
  <dcterms:created xsi:type="dcterms:W3CDTF">2001-03-30T03:24:47Z</dcterms:created>
  <dcterms:modified xsi:type="dcterms:W3CDTF">2024-01-01T16:19:24Z</dcterms:modified>
</cp:coreProperties>
</file>