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1"/>
  </bookViews>
  <sheets>
    <sheet name="ВРСМБР5" sheetId="1" r:id="rId1"/>
    <sheet name="Разд подр №4" sheetId="2" r:id="rId2"/>
    <sheet name="Расшифр 1 к пр№5" sheetId="3" r:id="rId3"/>
  </sheets>
  <externalReferences>
    <externalReference r:id="rId4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3" l="1"/>
  <c r="G69" i="3"/>
  <c r="F69" i="3"/>
  <c r="E69" i="3"/>
  <c r="D69" i="3"/>
  <c r="C69" i="3"/>
  <c r="H68" i="3"/>
  <c r="G68" i="3"/>
  <c r="F68" i="3"/>
  <c r="E68" i="3"/>
  <c r="D68" i="3"/>
  <c r="C68" i="3"/>
  <c r="I68" i="3" s="1"/>
  <c r="H67" i="3"/>
  <c r="C67" i="3"/>
  <c r="I67" i="3" s="1"/>
  <c r="H66" i="3"/>
  <c r="G66" i="3"/>
  <c r="F66" i="3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F64" i="3"/>
  <c r="E64" i="3"/>
  <c r="D64" i="3"/>
  <c r="C64" i="3"/>
  <c r="B64" i="3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I62" i="3" s="1"/>
  <c r="B62" i="3"/>
  <c r="H61" i="3"/>
  <c r="G61" i="3"/>
  <c r="F61" i="3"/>
  <c r="E61" i="3"/>
  <c r="D61" i="3"/>
  <c r="C61" i="3"/>
  <c r="B61" i="3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I59" i="3" s="1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I57" i="3" s="1"/>
  <c r="B57" i="3"/>
  <c r="G56" i="3"/>
  <c r="F56" i="3"/>
  <c r="E56" i="3"/>
  <c r="D56" i="3"/>
  <c r="C56" i="3"/>
  <c r="I56" i="3" s="1"/>
  <c r="B56" i="3"/>
  <c r="H55" i="3"/>
  <c r="G55" i="3"/>
  <c r="F55" i="3"/>
  <c r="E55" i="3"/>
  <c r="D55" i="3"/>
  <c r="C55" i="3"/>
  <c r="B55" i="3"/>
  <c r="H54" i="3"/>
  <c r="G54" i="3"/>
  <c r="F54" i="3"/>
  <c r="I54" i="3" s="1"/>
  <c r="E54" i="3"/>
  <c r="D54" i="3"/>
  <c r="C54" i="3"/>
  <c r="B54" i="3"/>
  <c r="H53" i="3"/>
  <c r="G53" i="3"/>
  <c r="F53" i="3"/>
  <c r="I53" i="3" s="1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G50" i="3"/>
  <c r="D50" i="3"/>
  <c r="I50" i="3" s="1"/>
  <c r="G49" i="3"/>
  <c r="D49" i="3"/>
  <c r="I49" i="3" s="1"/>
  <c r="G48" i="3"/>
  <c r="D48" i="3"/>
  <c r="G47" i="3"/>
  <c r="D47" i="3"/>
  <c r="I47" i="3" s="1"/>
  <c r="G46" i="3"/>
  <c r="F46" i="3"/>
  <c r="E46" i="3"/>
  <c r="D46" i="3"/>
  <c r="I46" i="3" s="1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I43" i="3" s="1"/>
  <c r="G42" i="3"/>
  <c r="F42" i="3"/>
  <c r="E42" i="3"/>
  <c r="D42" i="3"/>
  <c r="C42" i="3"/>
  <c r="G41" i="3"/>
  <c r="F41" i="3"/>
  <c r="E41" i="3"/>
  <c r="D41" i="3"/>
  <c r="C41" i="3"/>
  <c r="I41" i="3" s="1"/>
  <c r="G40" i="3"/>
  <c r="F40" i="3"/>
  <c r="E40" i="3"/>
  <c r="D40" i="3"/>
  <c r="C40" i="3"/>
  <c r="H39" i="3"/>
  <c r="G39" i="3"/>
  <c r="F39" i="3"/>
  <c r="E39" i="3"/>
  <c r="D39" i="3"/>
  <c r="C39" i="3"/>
  <c r="I39" i="3" s="1"/>
  <c r="H38" i="3"/>
  <c r="G38" i="3"/>
  <c r="F38" i="3"/>
  <c r="E38" i="3"/>
  <c r="D38" i="3"/>
  <c r="C38" i="3"/>
  <c r="I38" i="3" s="1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I35" i="3" s="1"/>
  <c r="H34" i="3"/>
  <c r="G34" i="3"/>
  <c r="F34" i="3"/>
  <c r="E34" i="3"/>
  <c r="D34" i="3"/>
  <c r="C34" i="3"/>
  <c r="H33" i="3"/>
  <c r="G33" i="3"/>
  <c r="F33" i="3"/>
  <c r="E33" i="3"/>
  <c r="D33" i="3"/>
  <c r="I33" i="3" s="1"/>
  <c r="C33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I30" i="3" s="1"/>
  <c r="H29" i="3"/>
  <c r="G29" i="3"/>
  <c r="F29" i="3"/>
  <c r="E29" i="3"/>
  <c r="D29" i="3"/>
  <c r="C29" i="3"/>
  <c r="I29" i="3" s="1"/>
  <c r="H28" i="3"/>
  <c r="G28" i="3"/>
  <c r="F28" i="3"/>
  <c r="E28" i="3"/>
  <c r="D28" i="3"/>
  <c r="C28" i="3"/>
  <c r="I28" i="3" s="1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I25" i="3" s="1"/>
  <c r="H24" i="3"/>
  <c r="G24" i="3"/>
  <c r="F24" i="3"/>
  <c r="E24" i="3"/>
  <c r="D24" i="3"/>
  <c r="C24" i="3"/>
  <c r="H23" i="3"/>
  <c r="G23" i="3"/>
  <c r="F23" i="3"/>
  <c r="E23" i="3"/>
  <c r="D23" i="3"/>
  <c r="C23" i="3"/>
  <c r="I23" i="3" s="1"/>
  <c r="H22" i="3"/>
  <c r="G22" i="3"/>
  <c r="F22" i="3"/>
  <c r="E22" i="3"/>
  <c r="D22" i="3"/>
  <c r="C22" i="3"/>
  <c r="H21" i="3"/>
  <c r="G21" i="3"/>
  <c r="F21" i="3"/>
  <c r="E21" i="3"/>
  <c r="D21" i="3"/>
  <c r="C21" i="3"/>
  <c r="I21" i="3" s="1"/>
  <c r="H20" i="3"/>
  <c r="G20" i="3"/>
  <c r="F20" i="3"/>
  <c r="E20" i="3"/>
  <c r="D20" i="3"/>
  <c r="C20" i="3"/>
  <c r="H19" i="3"/>
  <c r="G19" i="3"/>
  <c r="F19" i="3"/>
  <c r="E19" i="3"/>
  <c r="D19" i="3"/>
  <c r="C19" i="3"/>
  <c r="I19" i="3" s="1"/>
  <c r="G18" i="3"/>
  <c r="F18" i="3"/>
  <c r="E18" i="3"/>
  <c r="D18" i="3"/>
  <c r="C18" i="3"/>
  <c r="I18" i="3" s="1"/>
  <c r="H17" i="3"/>
  <c r="G17" i="3"/>
  <c r="F17" i="3"/>
  <c r="E17" i="3"/>
  <c r="D17" i="3"/>
  <c r="C17" i="3"/>
  <c r="I17" i="3" s="1"/>
  <c r="H16" i="3"/>
  <c r="G16" i="3"/>
  <c r="F16" i="3"/>
  <c r="E16" i="3"/>
  <c r="D16" i="3"/>
  <c r="C16" i="3"/>
  <c r="I16" i="3" s="1"/>
  <c r="G15" i="3"/>
  <c r="F15" i="3"/>
  <c r="E15" i="3"/>
  <c r="D15" i="3"/>
  <c r="C15" i="3"/>
  <c r="D68" i="2"/>
  <c r="F65" i="2"/>
  <c r="E65" i="2"/>
  <c r="D65" i="2"/>
  <c r="D63" i="2" s="1"/>
  <c r="F64" i="2"/>
  <c r="F63" i="2" s="1"/>
  <c r="E64" i="2"/>
  <c r="D64" i="2"/>
  <c r="E63" i="2"/>
  <c r="F62" i="2"/>
  <c r="E62" i="2"/>
  <c r="E61" i="2" s="1"/>
  <c r="D62" i="2"/>
  <c r="D61" i="2" s="1"/>
  <c r="F61" i="2"/>
  <c r="F60" i="2"/>
  <c r="E60" i="2"/>
  <c r="D60" i="2"/>
  <c r="F59" i="2"/>
  <c r="F58" i="2" s="1"/>
  <c r="E59" i="2"/>
  <c r="E58" i="2" s="1"/>
  <c r="D59" i="2"/>
  <c r="D58" i="2"/>
  <c r="F57" i="2"/>
  <c r="E57" i="2"/>
  <c r="D57" i="2"/>
  <c r="F55" i="2"/>
  <c r="F54" i="2" s="1"/>
  <c r="E55" i="2"/>
  <c r="E54" i="2" s="1"/>
  <c r="D55" i="2"/>
  <c r="D54" i="2" s="1"/>
  <c r="F53" i="2"/>
  <c r="E53" i="2"/>
  <c r="D53" i="2"/>
  <c r="F52" i="2"/>
  <c r="E52" i="2"/>
  <c r="D52" i="2"/>
  <c r="F51" i="2"/>
  <c r="E51" i="2"/>
  <c r="D51" i="2"/>
  <c r="D48" i="2" s="1"/>
  <c r="F49" i="2"/>
  <c r="F48" i="2" s="1"/>
  <c r="E49" i="2"/>
  <c r="D49" i="2"/>
  <c r="F46" i="2"/>
  <c r="F45" i="2" s="1"/>
  <c r="E46" i="2"/>
  <c r="E45" i="2" s="1"/>
  <c r="D46" i="2"/>
  <c r="D45" i="2" s="1"/>
  <c r="F44" i="2"/>
  <c r="E44" i="2"/>
  <c r="D44" i="2"/>
  <c r="F43" i="2"/>
  <c r="E43" i="2"/>
  <c r="D43" i="2"/>
  <c r="D42" i="2"/>
  <c r="E42" i="2" s="1"/>
  <c r="F42" i="2" s="1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E34" i="2" s="1"/>
  <c r="D37" i="2"/>
  <c r="F36" i="2"/>
  <c r="E36" i="2"/>
  <c r="D36" i="2"/>
  <c r="D35" i="2"/>
  <c r="F32" i="2"/>
  <c r="E32" i="2"/>
  <c r="D32" i="2"/>
  <c r="F30" i="2"/>
  <c r="E30" i="2"/>
  <c r="D30" i="2"/>
  <c r="D28" i="2" s="1"/>
  <c r="F29" i="2"/>
  <c r="F28" i="2" s="1"/>
  <c r="E29" i="2"/>
  <c r="D29" i="2"/>
  <c r="E28" i="2"/>
  <c r="F26" i="2"/>
  <c r="E26" i="2"/>
  <c r="E23" i="2" s="1"/>
  <c r="D26" i="2"/>
  <c r="F25" i="2"/>
  <c r="E25" i="2"/>
  <c r="D25" i="2"/>
  <c r="D23" i="2" s="1"/>
  <c r="F23" i="2"/>
  <c r="F20" i="2"/>
  <c r="E20" i="2"/>
  <c r="D20" i="2"/>
  <c r="F19" i="2"/>
  <c r="E19" i="2"/>
  <c r="D19" i="2"/>
  <c r="F17" i="2"/>
  <c r="E17" i="2"/>
  <c r="D17" i="2"/>
  <c r="F16" i="2"/>
  <c r="E16" i="2"/>
  <c r="D16" i="2"/>
  <c r="F15" i="2"/>
  <c r="E15" i="2"/>
  <c r="D15" i="2"/>
  <c r="F14" i="2"/>
  <c r="E14" i="2"/>
  <c r="D14" i="2"/>
  <c r="D13" i="2"/>
  <c r="F13" i="2" s="1"/>
  <c r="I222" i="1"/>
  <c r="H222" i="1"/>
  <c r="G222" i="1"/>
  <c r="H218" i="1"/>
  <c r="G218" i="1"/>
  <c r="G216" i="1"/>
  <c r="H216" i="1" s="1"/>
  <c r="I216" i="1" s="1"/>
  <c r="H215" i="1"/>
  <c r="I215" i="1" s="1"/>
  <c r="G215" i="1"/>
  <c r="G214" i="1"/>
  <c r="H213" i="1"/>
  <c r="G213" i="1"/>
  <c r="G212" i="1"/>
  <c r="G211" i="1"/>
  <c r="G210" i="1"/>
  <c r="G209" i="1"/>
  <c r="G208" i="1"/>
  <c r="G207" i="1"/>
  <c r="G206" i="1"/>
  <c r="G205" i="1"/>
  <c r="G204" i="1"/>
  <c r="G203" i="1"/>
  <c r="H203" i="1" s="1"/>
  <c r="H202" i="1"/>
  <c r="G202" i="1"/>
  <c r="I202" i="1" s="1"/>
  <c r="G199" i="1"/>
  <c r="I199" i="1" s="1"/>
  <c r="G198" i="1"/>
  <c r="H198" i="1" s="1"/>
  <c r="G197" i="1"/>
  <c r="I197" i="1" s="1"/>
  <c r="G193" i="1"/>
  <c r="G192" i="1"/>
  <c r="H192" i="1" s="1"/>
  <c r="I192" i="1" s="1"/>
  <c r="G191" i="1"/>
  <c r="H191" i="1" s="1"/>
  <c r="I191" i="1" s="1"/>
  <c r="G188" i="1"/>
  <c r="I188" i="1" s="1"/>
  <c r="I187" i="1"/>
  <c r="H187" i="1"/>
  <c r="G186" i="1"/>
  <c r="H185" i="1"/>
  <c r="I185" i="1" s="1"/>
  <c r="G185" i="1"/>
  <c r="H182" i="1"/>
  <c r="G181" i="1"/>
  <c r="G179" i="1"/>
  <c r="H179" i="1" s="1"/>
  <c r="I179" i="1" s="1"/>
  <c r="G178" i="1"/>
  <c r="G176" i="1"/>
  <c r="G175" i="1"/>
  <c r="G174" i="1"/>
  <c r="G173" i="1"/>
  <c r="I171" i="1"/>
  <c r="H171" i="1"/>
  <c r="G169" i="1"/>
  <c r="H169" i="1" s="1"/>
  <c r="G166" i="1"/>
  <c r="H166" i="1" s="1"/>
  <c r="H165" i="1" s="1"/>
  <c r="H164" i="1" s="1"/>
  <c r="G162" i="1"/>
  <c r="H162" i="1" s="1"/>
  <c r="I162" i="1" s="1"/>
  <c r="G161" i="1"/>
  <c r="I161" i="1" s="1"/>
  <c r="H159" i="1"/>
  <c r="I159" i="1" s="1"/>
  <c r="G159" i="1"/>
  <c r="G158" i="1"/>
  <c r="H158" i="1" s="1"/>
  <c r="I158" i="1" s="1"/>
  <c r="G157" i="1"/>
  <c r="H157" i="1" s="1"/>
  <c r="G155" i="1"/>
  <c r="I155" i="1" s="1"/>
  <c r="G154" i="1"/>
  <c r="H154" i="1" s="1"/>
  <c r="G153" i="1"/>
  <c r="I153" i="1" s="1"/>
  <c r="G152" i="1"/>
  <c r="G147" i="1"/>
  <c r="H146" i="1"/>
  <c r="I146" i="1" s="1"/>
  <c r="G146" i="1"/>
  <c r="G145" i="1"/>
  <c r="H145" i="1" s="1"/>
  <c r="I145" i="1" s="1"/>
  <c r="G143" i="1"/>
  <c r="G142" i="1"/>
  <c r="I142" i="1" s="1"/>
  <c r="H141" i="1"/>
  <c r="G141" i="1"/>
  <c r="G140" i="1" s="1"/>
  <c r="G138" i="1"/>
  <c r="H138" i="1" s="1"/>
  <c r="G137" i="1"/>
  <c r="G136" i="1"/>
  <c r="G135" i="1"/>
  <c r="H135" i="1" s="1"/>
  <c r="I135" i="1" s="1"/>
  <c r="G134" i="1"/>
  <c r="H134" i="1" s="1"/>
  <c r="I133" i="1"/>
  <c r="G133" i="1"/>
  <c r="G132" i="1" s="1"/>
  <c r="G126" i="1" s="1"/>
  <c r="G131" i="1"/>
  <c r="G130" i="1"/>
  <c r="G129" i="1"/>
  <c r="I129" i="1" s="1"/>
  <c r="I128" i="1"/>
  <c r="H128" i="1"/>
  <c r="G128" i="1"/>
  <c r="G127" i="1"/>
  <c r="H125" i="1"/>
  <c r="G125" i="1"/>
  <c r="G124" i="1"/>
  <c r="I124" i="1" s="1"/>
  <c r="I122" i="1"/>
  <c r="I121" i="1" s="1"/>
  <c r="H122" i="1"/>
  <c r="H121" i="1" s="1"/>
  <c r="G122" i="1"/>
  <c r="G121" i="1" s="1"/>
  <c r="H120" i="1"/>
  <c r="G120" i="1"/>
  <c r="I120" i="1" s="1"/>
  <c r="I119" i="1"/>
  <c r="H119" i="1"/>
  <c r="G119" i="1"/>
  <c r="G118" i="1"/>
  <c r="H118" i="1" s="1"/>
  <c r="I117" i="1"/>
  <c r="H117" i="1"/>
  <c r="G117" i="1"/>
  <c r="G115" i="1"/>
  <c r="G114" i="1" s="1"/>
  <c r="I114" i="1"/>
  <c r="H114" i="1"/>
  <c r="G112" i="1"/>
  <c r="I112" i="1" s="1"/>
  <c r="G111" i="1"/>
  <c r="G107" i="1"/>
  <c r="G110" i="1" s="1"/>
  <c r="G106" i="1"/>
  <c r="G109" i="1" s="1"/>
  <c r="G105" i="1"/>
  <c r="H105" i="1" s="1"/>
  <c r="G99" i="1"/>
  <c r="H99" i="1" s="1"/>
  <c r="I99" i="1" s="1"/>
  <c r="G98" i="1"/>
  <c r="G97" i="1"/>
  <c r="G96" i="1"/>
  <c r="H96" i="1" s="1"/>
  <c r="I96" i="1" s="1"/>
  <c r="G95" i="1"/>
  <c r="H95" i="1" s="1"/>
  <c r="I95" i="1" s="1"/>
  <c r="G94" i="1"/>
  <c r="H92" i="1"/>
  <c r="I92" i="1" s="1"/>
  <c r="G92" i="1"/>
  <c r="H91" i="1"/>
  <c r="G91" i="1"/>
  <c r="I90" i="1"/>
  <c r="H90" i="1"/>
  <c r="G90" i="1"/>
  <c r="G89" i="1" s="1"/>
  <c r="G88" i="1" s="1"/>
  <c r="G87" i="1"/>
  <c r="G86" i="1"/>
  <c r="H86" i="1" s="1"/>
  <c r="I86" i="1" s="1"/>
  <c r="G85" i="1"/>
  <c r="H85" i="1" s="1"/>
  <c r="I85" i="1" s="1"/>
  <c r="G84" i="1"/>
  <c r="H80" i="1"/>
  <c r="G78" i="1"/>
  <c r="I78" i="1" s="1"/>
  <c r="H77" i="1"/>
  <c r="G77" i="1"/>
  <c r="I77" i="1" s="1"/>
  <c r="G75" i="1"/>
  <c r="I75" i="1" s="1"/>
  <c r="I74" i="1"/>
  <c r="H74" i="1"/>
  <c r="G74" i="1"/>
  <c r="G73" i="1"/>
  <c r="G72" i="1"/>
  <c r="I71" i="1"/>
  <c r="H71" i="1"/>
  <c r="G69" i="1"/>
  <c r="I69" i="1" s="1"/>
  <c r="G68" i="1"/>
  <c r="G64" i="1"/>
  <c r="H64" i="1" s="1"/>
  <c r="I64" i="1" s="1"/>
  <c r="G63" i="1"/>
  <c r="H63" i="1" s="1"/>
  <c r="I63" i="1" s="1"/>
  <c r="I62" i="1" s="1"/>
  <c r="G60" i="1"/>
  <c r="I60" i="1" s="1"/>
  <c r="G59" i="1"/>
  <c r="G58" i="1"/>
  <c r="H58" i="1" s="1"/>
  <c r="G57" i="1"/>
  <c r="G56" i="1" s="1"/>
  <c r="G55" i="1"/>
  <c r="H55" i="1" s="1"/>
  <c r="G54" i="1"/>
  <c r="G53" i="1"/>
  <c r="G52" i="1"/>
  <c r="H52" i="1" s="1"/>
  <c r="I52" i="1" s="1"/>
  <c r="H51" i="1"/>
  <c r="I51" i="1" s="1"/>
  <c r="G51" i="1"/>
  <c r="G50" i="1"/>
  <c r="I50" i="1" s="1"/>
  <c r="G49" i="1"/>
  <c r="G48" i="1"/>
  <c r="H48" i="1" s="1"/>
  <c r="I48" i="1" s="1"/>
  <c r="H46" i="1"/>
  <c r="G46" i="1"/>
  <c r="I46" i="1" s="1"/>
  <c r="G45" i="1"/>
  <c r="I44" i="1"/>
  <c r="G44" i="1"/>
  <c r="H44" i="1" s="1"/>
  <c r="I43" i="1"/>
  <c r="H43" i="1"/>
  <c r="G43" i="1"/>
  <c r="I39" i="1"/>
  <c r="H39" i="1"/>
  <c r="G39" i="1"/>
  <c r="H37" i="1"/>
  <c r="I37" i="1" s="1"/>
  <c r="G37" i="1"/>
  <c r="G36" i="1"/>
  <c r="H36" i="1" s="1"/>
  <c r="G34" i="1"/>
  <c r="G33" i="1"/>
  <c r="H33" i="1" s="1"/>
  <c r="I33" i="1" s="1"/>
  <c r="H32" i="1"/>
  <c r="I32" i="1" s="1"/>
  <c r="G32" i="1"/>
  <c r="G31" i="1"/>
  <c r="G30" i="1"/>
  <c r="H30" i="1" s="1"/>
  <c r="I30" i="1" s="1"/>
  <c r="G29" i="1"/>
  <c r="H29" i="1" s="1"/>
  <c r="I29" i="1" s="1"/>
  <c r="H28" i="1"/>
  <c r="I28" i="1" s="1"/>
  <c r="I27" i="1" s="1"/>
  <c r="G28" i="1"/>
  <c r="G27" i="1"/>
  <c r="G25" i="1" s="1"/>
  <c r="I24" i="1"/>
  <c r="I23" i="1" s="1"/>
  <c r="H24" i="1"/>
  <c r="G24" i="1"/>
  <c r="H23" i="1"/>
  <c r="G23" i="1"/>
  <c r="G22" i="1"/>
  <c r="H22" i="1" s="1"/>
  <c r="I22" i="1" s="1"/>
  <c r="G21" i="1"/>
  <c r="H21" i="1" s="1"/>
  <c r="I21" i="1" s="1"/>
  <c r="G20" i="1"/>
  <c r="H20" i="1" s="1"/>
  <c r="G17" i="1"/>
  <c r="H17" i="1" s="1"/>
  <c r="I17" i="1" s="1"/>
  <c r="G16" i="1"/>
  <c r="H16" i="1" s="1"/>
  <c r="G13" i="1"/>
  <c r="I13" i="1" s="1"/>
  <c r="I12" i="1"/>
  <c r="I11" i="1" s="1"/>
  <c r="I10" i="1" s="1"/>
  <c r="G12" i="1"/>
  <c r="H12" i="1" s="1"/>
  <c r="H132" i="1" l="1"/>
  <c r="I134" i="1"/>
  <c r="I138" i="1"/>
  <c r="I137" i="1" s="1"/>
  <c r="I136" i="1" s="1"/>
  <c r="H137" i="1"/>
  <c r="H136" i="1" s="1"/>
  <c r="H57" i="1"/>
  <c r="G104" i="1"/>
  <c r="I141" i="1"/>
  <c r="H153" i="1"/>
  <c r="G160" i="1"/>
  <c r="H197" i="1"/>
  <c r="H196" i="1" s="1"/>
  <c r="I25" i="1"/>
  <c r="I57" i="1"/>
  <c r="H78" i="1"/>
  <c r="H70" i="3"/>
  <c r="I24" i="3"/>
  <c r="I34" i="3"/>
  <c r="I64" i="3"/>
  <c r="H129" i="1"/>
  <c r="H142" i="1"/>
  <c r="I154" i="1"/>
  <c r="H161" i="1"/>
  <c r="I198" i="1"/>
  <c r="I196" i="1" s="1"/>
  <c r="E48" i="2"/>
  <c r="I55" i="3"/>
  <c r="I58" i="1"/>
  <c r="G171" i="1"/>
  <c r="H188" i="1"/>
  <c r="C70" i="3"/>
  <c r="I66" i="3"/>
  <c r="H106" i="1"/>
  <c r="H155" i="1"/>
  <c r="H190" i="1"/>
  <c r="H189" i="1" s="1"/>
  <c r="H199" i="1"/>
  <c r="D70" i="3"/>
  <c r="I75" i="3"/>
  <c r="I61" i="3"/>
  <c r="G201" i="1"/>
  <c r="F12" i="2"/>
  <c r="E70" i="3"/>
  <c r="I27" i="3"/>
  <c r="I37" i="3"/>
  <c r="I52" i="3"/>
  <c r="I31" i="1"/>
  <c r="H60" i="1"/>
  <c r="H107" i="1"/>
  <c r="I107" i="1" s="1"/>
  <c r="G156" i="1"/>
  <c r="I166" i="1"/>
  <c r="I165" i="1" s="1"/>
  <c r="I164" i="1" s="1"/>
  <c r="D34" i="2"/>
  <c r="F70" i="3"/>
  <c r="I44" i="3"/>
  <c r="I63" i="3"/>
  <c r="I69" i="3"/>
  <c r="H76" i="1"/>
  <c r="G168" i="1"/>
  <c r="G167" i="1" s="1"/>
  <c r="G70" i="3"/>
  <c r="I31" i="3"/>
  <c r="I58" i="3"/>
  <c r="H75" i="1"/>
  <c r="H70" i="1" s="1"/>
  <c r="I42" i="3"/>
  <c r="I65" i="3"/>
  <c r="F34" i="2"/>
  <c r="I20" i="3"/>
  <c r="I22" i="3"/>
  <c r="I60" i="3"/>
  <c r="I76" i="1"/>
  <c r="I70" i="1" s="1"/>
  <c r="G196" i="1"/>
  <c r="G194" i="1" s="1"/>
  <c r="I26" i="3"/>
  <c r="I32" i="3"/>
  <c r="I36" i="3"/>
  <c r="I40" i="3"/>
  <c r="I45" i="3"/>
  <c r="I48" i="3"/>
  <c r="I51" i="3"/>
  <c r="I73" i="3" s="1"/>
  <c r="I76" i="3"/>
  <c r="I15" i="3"/>
  <c r="F66" i="2"/>
  <c r="D12" i="2"/>
  <c r="D66" i="2" s="1"/>
  <c r="E13" i="2"/>
  <c r="E12" i="2" s="1"/>
  <c r="H15" i="1"/>
  <c r="I16" i="1"/>
  <c r="I15" i="1" s="1"/>
  <c r="I36" i="1"/>
  <c r="I35" i="1" s="1"/>
  <c r="H35" i="1"/>
  <c r="I20" i="1"/>
  <c r="I19" i="1" s="1"/>
  <c r="I18" i="1" s="1"/>
  <c r="H19" i="1"/>
  <c r="H18" i="1" s="1"/>
  <c r="G47" i="1"/>
  <c r="H49" i="1"/>
  <c r="I49" i="1" s="1"/>
  <c r="I111" i="1"/>
  <c r="H111" i="1"/>
  <c r="I140" i="1"/>
  <c r="I45" i="1"/>
  <c r="I42" i="1" s="1"/>
  <c r="H45" i="1"/>
  <c r="H42" i="1" s="1"/>
  <c r="H62" i="1"/>
  <c r="H69" i="1"/>
  <c r="H84" i="1"/>
  <c r="G83" i="1"/>
  <c r="G103" i="1"/>
  <c r="I152" i="1"/>
  <c r="I151" i="1" s="1"/>
  <c r="H152" i="1"/>
  <c r="H151" i="1" s="1"/>
  <c r="G151" i="1"/>
  <c r="I160" i="1"/>
  <c r="H210" i="1"/>
  <c r="H206" i="1" s="1"/>
  <c r="I213" i="1"/>
  <c r="I210" i="1" s="1"/>
  <c r="I206" i="1" s="1"/>
  <c r="H13" i="1"/>
  <c r="H11" i="1" s="1"/>
  <c r="H10" i="1" s="1"/>
  <c r="G35" i="1"/>
  <c r="G42" i="1"/>
  <c r="H50" i="1"/>
  <c r="I55" i="1"/>
  <c r="I53" i="1" s="1"/>
  <c r="H53" i="1"/>
  <c r="I59" i="1"/>
  <c r="I56" i="1" s="1"/>
  <c r="H59" i="1"/>
  <c r="H56" i="1" s="1"/>
  <c r="G71" i="1"/>
  <c r="G76" i="1"/>
  <c r="G70" i="1" s="1"/>
  <c r="I106" i="1"/>
  <c r="I109" i="1"/>
  <c r="H109" i="1"/>
  <c r="H112" i="1"/>
  <c r="H124" i="1"/>
  <c r="H116" i="1" s="1"/>
  <c r="H113" i="1" s="1"/>
  <c r="I130" i="1"/>
  <c r="I127" i="1" s="1"/>
  <c r="I126" i="1" s="1"/>
  <c r="H130" i="1"/>
  <c r="H127" i="1" s="1"/>
  <c r="H126" i="1" s="1"/>
  <c r="I132" i="1"/>
  <c r="G144" i="1"/>
  <c r="G139" i="1" s="1"/>
  <c r="H147" i="1"/>
  <c r="H160" i="1"/>
  <c r="H178" i="1"/>
  <c r="I178" i="1" s="1"/>
  <c r="G177" i="1"/>
  <c r="I204" i="1"/>
  <c r="I201" i="1" s="1"/>
  <c r="H204" i="1"/>
  <c r="H201" i="1" s="1"/>
  <c r="H94" i="1"/>
  <c r="G93" i="1"/>
  <c r="G123" i="1"/>
  <c r="I118" i="1"/>
  <c r="I116" i="1" s="1"/>
  <c r="I113" i="1" s="1"/>
  <c r="I143" i="1"/>
  <c r="H143" i="1"/>
  <c r="H140" i="1" s="1"/>
  <c r="H27" i="1"/>
  <c r="H31" i="1"/>
  <c r="I80" i="1"/>
  <c r="G116" i="1"/>
  <c r="G113" i="1" s="1"/>
  <c r="G11" i="1"/>
  <c r="G10" i="1" s="1"/>
  <c r="G15" i="1"/>
  <c r="G14" i="1" s="1"/>
  <c r="G19" i="1"/>
  <c r="G18" i="1" s="1"/>
  <c r="I68" i="1"/>
  <c r="I67" i="1" s="1"/>
  <c r="I66" i="1" s="1"/>
  <c r="H68" i="1"/>
  <c r="H67" i="1" s="1"/>
  <c r="H66" i="1" s="1"/>
  <c r="G67" i="1"/>
  <c r="G66" i="1" s="1"/>
  <c r="H89" i="1"/>
  <c r="H88" i="1" s="1"/>
  <c r="I91" i="1"/>
  <c r="I89" i="1" s="1"/>
  <c r="I88" i="1" s="1"/>
  <c r="I105" i="1"/>
  <c r="I104" i="1" s="1"/>
  <c r="H104" i="1"/>
  <c r="I157" i="1"/>
  <c r="I156" i="1" s="1"/>
  <c r="H156" i="1"/>
  <c r="I169" i="1"/>
  <c r="I168" i="1" s="1"/>
  <c r="I167" i="1" s="1"/>
  <c r="H168" i="1"/>
  <c r="H167" i="1" s="1"/>
  <c r="H181" i="1"/>
  <c r="I182" i="1"/>
  <c r="I181" i="1" s="1"/>
  <c r="I186" i="1"/>
  <c r="I184" i="1" s="1"/>
  <c r="G184" i="1"/>
  <c r="H186" i="1"/>
  <c r="H184" i="1" s="1"/>
  <c r="I190" i="1"/>
  <c r="I189" i="1" s="1"/>
  <c r="G62" i="1"/>
  <c r="G165" i="1"/>
  <c r="G164" i="1" s="1"/>
  <c r="G190" i="1"/>
  <c r="G189" i="1" s="1"/>
  <c r="E66" i="2" l="1"/>
  <c r="I194" i="1"/>
  <c r="G150" i="1"/>
  <c r="G149" i="1" s="1"/>
  <c r="H25" i="1"/>
  <c r="G163" i="1"/>
  <c r="H65" i="1"/>
  <c r="I180" i="1"/>
  <c r="G38" i="1"/>
  <c r="I65" i="1"/>
  <c r="H194" i="1"/>
  <c r="H103" i="1"/>
  <c r="I70" i="3"/>
  <c r="I74" i="3"/>
  <c r="I77" i="3" s="1"/>
  <c r="G102" i="1"/>
  <c r="H180" i="1"/>
  <c r="I147" i="1"/>
  <c r="I144" i="1" s="1"/>
  <c r="I139" i="1" s="1"/>
  <c r="H144" i="1"/>
  <c r="H139" i="1" s="1"/>
  <c r="G82" i="1"/>
  <c r="G79" i="1"/>
  <c r="G180" i="1"/>
  <c r="G9" i="1"/>
  <c r="G217" i="1" s="1"/>
  <c r="G223" i="1" s="1"/>
  <c r="I177" i="1"/>
  <c r="I163" i="1" s="1"/>
  <c r="H177" i="1"/>
  <c r="H163" i="1" s="1"/>
  <c r="I150" i="1"/>
  <c r="I149" i="1" s="1"/>
  <c r="I84" i="1"/>
  <c r="I83" i="1" s="1"/>
  <c r="I82" i="1" s="1"/>
  <c r="H83" i="1"/>
  <c r="H47" i="1"/>
  <c r="H38" i="1" s="1"/>
  <c r="I47" i="1"/>
  <c r="I38" i="1" s="1"/>
  <c r="I14" i="1"/>
  <c r="H14" i="1"/>
  <c r="H9" i="1" s="1"/>
  <c r="I79" i="1"/>
  <c r="H150" i="1"/>
  <c r="H149" i="1" s="1"/>
  <c r="G65" i="1"/>
  <c r="I94" i="1"/>
  <c r="I93" i="1" s="1"/>
  <c r="H93" i="1"/>
  <c r="I103" i="1"/>
  <c r="H102" i="1" l="1"/>
  <c r="H82" i="1"/>
  <c r="H79" i="1"/>
  <c r="H217" i="1" s="1"/>
  <c r="H223" i="1" s="1"/>
  <c r="I102" i="1"/>
  <c r="I9" i="1"/>
  <c r="I217" i="1" l="1"/>
  <c r="I223" i="1" s="1"/>
</calcChain>
</file>

<file path=xl/sharedStrings.xml><?xml version="1.0" encoding="utf-8"?>
<sst xmlns="http://schemas.openxmlformats.org/spreadsheetml/2006/main" count="1159" uniqueCount="319">
  <si>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</si>
  <si>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</si>
  <si>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расходов   на 2022 год и на плановый период 2023 - 2024 годов. 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</si>
  <si>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</si>
  <si>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</si>
  <si>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</si>
  <si>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</si>
  <si>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</si>
  <si>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</si>
  <si>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2022 г</t>
  </si>
  <si>
    <t>2023 г</t>
  </si>
  <si>
    <t>2024 г</t>
  </si>
  <si>
    <t>2</t>
  </si>
  <si>
    <t>Администрация МР "Ботлихский район"</t>
  </si>
  <si>
    <t>001</t>
  </si>
  <si>
    <t xml:space="preserve"> 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</si>
  <si>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</si>
  <si>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</si>
  <si>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</si>
  <si>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</si>
  <si>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</si>
  <si>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</si>
  <si>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</si>
  <si>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</si>
  <si>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</si>
  <si>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муниципальных нужд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</si>
  <si>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</si>
  <si>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</si>
  <si>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</si>
  <si>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</si>
  <si>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</si>
  <si>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</si>
  <si>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</si>
  <si>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</si>
  <si>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Уплата налогов, сборов и иных платежей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</si>
  <si>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</si>
  <si>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</si>
  <si>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</si>
  <si>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</si>
  <si>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</si>
  <si>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</si>
  <si>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</si>
  <si>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</si>
  <si>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</si>
  <si>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</si>
  <si>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</si>
  <si>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</si>
  <si>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</si>
  <si>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</si>
  <si>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Резервные средства</t>
  </si>
  <si>
    <t>Другие общегосударственные расходы</t>
  </si>
  <si>
    <t>13</t>
  </si>
  <si>
    <t>Всероссийская перепись населения</t>
  </si>
  <si>
    <t>99 800 54690</t>
  </si>
  <si>
    <t>Комитет по управлению имуществом (КУМИ)</t>
  </si>
  <si>
    <t>99 000 00000</t>
  </si>
  <si>
    <r>
      <t xml:space="preserve">Расходы на выплаты персоналу государственных (муниципальных) органов </t>
    </r>
    <r>
      <rPr>
        <b/>
        <sz val="10"/>
        <rFont val="Times New Roman"/>
        <family val="1"/>
        <charset val="204"/>
      </rPr>
      <t xml:space="preserve"> </t>
    </r>
  </si>
  <si>
    <t>120</t>
  </si>
  <si>
    <t>Капитальные вложения в объекты муниципальной собственности</t>
  </si>
  <si>
    <t>Осуществление полномочий РД по созданию и организации деятельности административных комиссий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</si>
  <si>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</si>
  <si>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</si>
  <si>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</si>
  <si>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</si>
  <si>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</si>
  <si>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МКУ "Хозяйственная служба"</t>
  </si>
  <si>
    <t>99 000 90500</t>
  </si>
  <si>
    <t>МБУ "Централизованная Бухгалтерия"</t>
  </si>
  <si>
    <t>Субсидии бюдж учр-м на выполнение муниципального задания</t>
  </si>
  <si>
    <t>99 000 90600</t>
  </si>
  <si>
    <t>Иные субсидии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</si>
  <si>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</si>
  <si>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</si>
  <si>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</si>
  <si>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</si>
  <si>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</si>
  <si>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</si>
  <si>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Муниципальная программа "Защита населения и территории от ЧС и обеспечение пожарной безопасности"</t>
  </si>
  <si>
    <t>01 000 00000</t>
  </si>
  <si>
    <t>Создание и совершенствование системы оповещения населения района</t>
  </si>
  <si>
    <t>01 201 10040</t>
  </si>
  <si>
    <t>240</t>
  </si>
  <si>
    <t>Обеспечение мероприятий по гражданской обороне</t>
  </si>
  <si>
    <t>01 301 10040</t>
  </si>
  <si>
    <t>Единая Дежурно-Диспетчерская Служба</t>
  </si>
  <si>
    <t>Расходы на выплаты персоналу казенных учреждений</t>
  </si>
  <si>
    <t>99 000 60300</t>
  </si>
  <si>
    <t>Общеэкономические вопросы</t>
  </si>
  <si>
    <t>99 000 40060</t>
  </si>
  <si>
    <t xml:space="preserve">Сельское хозяйство  </t>
  </si>
  <si>
    <t>300</t>
  </si>
  <si>
    <t>Сельское хозяйство и рыболовство</t>
  </si>
  <si>
    <t>Управление сельского хозяйства АМР "Ботлихский район"</t>
  </si>
  <si>
    <t>Содержание и отлов безнадзорных животных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</si>
  <si>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</si>
  <si>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</si>
  <si>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</si>
  <si>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Субвенции на содержание, ремонт и строительство автомобильных дорог общего пользования и местного значения</t>
  </si>
  <si>
    <t>Иные субсидии (Содержание, ремонт и строительство автомобильных дорог общего пользования и местного значения).</t>
  </si>
  <si>
    <t>Резерв ассигнований дорожного фонда</t>
  </si>
  <si>
    <t>99 000 40070</t>
  </si>
  <si>
    <t>Жилищно-коммунальное хозяйство</t>
  </si>
  <si>
    <t>350</t>
  </si>
  <si>
    <t>99 000 400 10</t>
  </si>
  <si>
    <t>99 000 40010</t>
  </si>
  <si>
    <t>9900040200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</si>
  <si>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</si>
  <si>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</si>
  <si>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</si>
  <si>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</si>
  <si>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</si>
  <si>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</si>
  <si>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01 103 70010</t>
  </si>
  <si>
    <t>Работы по выводу сигналов автоматических установок пожарной автоматики на пульты управления пожарных подразделений и монтаж системы "Тревожная кнопка".</t>
  </si>
  <si>
    <t>19 101 06590</t>
  </si>
  <si>
    <t>110</t>
  </si>
  <si>
    <t>99 000 70010</t>
  </si>
  <si>
    <t>Общее образование</t>
  </si>
  <si>
    <t>01 103 70020</t>
  </si>
  <si>
    <t>Школы - детские сады, школы начальные, неполные средние и средние общие*</t>
  </si>
  <si>
    <t>19 202 06590</t>
  </si>
  <si>
    <t>19 202 02590</t>
  </si>
  <si>
    <t>99 000 70020</t>
  </si>
  <si>
    <t>Расходы на вознаграждение за выполнение функции классного руководства</t>
  </si>
  <si>
    <t>19202R3030</t>
  </si>
  <si>
    <t xml:space="preserve">Учреждения по внешкольной работе с детьми </t>
  </si>
  <si>
    <r>
      <t>Учреж. по внеш. работе с детьми (</t>
    </r>
    <r>
      <rPr>
        <b/>
        <sz val="10"/>
        <rFont val="Times New Roman"/>
        <family val="1"/>
        <charset val="204"/>
      </rPr>
      <t>спортзалы</t>
    </r>
    <r>
      <rPr>
        <sz val="10"/>
        <rFont val="Times New Roman"/>
        <family val="1"/>
      </rPr>
      <t>) *</t>
    </r>
  </si>
  <si>
    <t>9900070030</t>
  </si>
  <si>
    <t>99 000 70030</t>
  </si>
  <si>
    <t>МБУ "Свод ДЮСШ и РЦДОД и Ю"</t>
  </si>
  <si>
    <t>Персонифицированное финансирование</t>
  </si>
  <si>
    <t>99 000 700П30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</si>
  <si>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</si>
  <si>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</si>
  <si>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</si>
  <si>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</si>
  <si>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</si>
  <si>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Информационно-методический центр, хозяйственная  служба управления образования *</t>
  </si>
  <si>
    <t>99 000 70040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</si>
  <si>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</si>
  <si>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</si>
  <si>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</si>
  <si>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</si>
  <si>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</si>
  <si>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</si>
  <si>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</si>
  <si>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</si>
  <si>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</si>
  <si>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</si>
  <si>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МКУ "Историко-краеведческий музей" МР "Ботлихский район"</t>
  </si>
  <si>
    <t>99 000 80030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</si>
  <si>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</si>
  <si>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</si>
  <si>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</si>
  <si>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</si>
  <si>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</si>
  <si>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</si>
  <si>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</si>
  <si>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</si>
  <si>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</si>
  <si>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99 000 90020</t>
  </si>
  <si>
    <t>Охрана семьи и детства</t>
  </si>
  <si>
    <t>223 000 00000</t>
  </si>
  <si>
    <t>в том числе:</t>
  </si>
  <si>
    <t>на устройство детей в семью</t>
  </si>
  <si>
    <t>2230752600</t>
  </si>
  <si>
    <t>на обеспечение жильем детей сирот</t>
  </si>
  <si>
    <t>2250040820</t>
  </si>
  <si>
    <t>246P552170</t>
  </si>
  <si>
    <t>на содержание круглых сирот</t>
  </si>
  <si>
    <t>2230781520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</si>
  <si>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</si>
  <si>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</si>
  <si>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</si>
  <si>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</si>
  <si>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</si>
  <si>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</si>
  <si>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</si>
  <si>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</si>
  <si>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</si>
  <si>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</si>
  <si>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</si>
  <si>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</si>
  <si>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</si>
  <si>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</si>
  <si>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</si>
  <si>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</si>
  <si>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</si>
  <si>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</si>
  <si>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</si>
  <si>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Обслуживание муниципального долга (возврат) проценты.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</si>
  <si>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</si>
  <si>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</si>
  <si>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</si>
  <si>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</si>
  <si>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</si>
  <si>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Дотации на повышение оплаты труда работников культуры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</si>
  <si>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</si>
  <si>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</si>
  <si>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</si>
  <si>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Субсидии поселениям на программу городская ср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</si>
  <si>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</si>
  <si>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</si>
  <si>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</si>
  <si>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</si>
  <si>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на софинансирование поселений</t>
  </si>
  <si>
    <t>Гранты поселениям</t>
  </si>
  <si>
    <t xml:space="preserve">Гранты на поддержку малого и среднего предпринимательства </t>
  </si>
  <si>
    <t>ИТОГО:</t>
  </si>
  <si>
    <t>контр</t>
  </si>
  <si>
    <r>
      <t xml:space="preserve">Примечание:  </t>
    </r>
    <r>
      <rPr>
        <b/>
        <sz val="10"/>
        <rFont val="Times New Roman"/>
        <family val="1"/>
        <charset val="204"/>
      </rPr>
      <t xml:space="preserve"> *</t>
    </r>
    <r>
      <rPr>
        <sz val="10"/>
        <rFont val="Times New Roman"/>
        <family val="1"/>
        <charset val="204"/>
      </rPr>
      <t xml:space="preserve"> см. расшифр. №1 к приложению</t>
    </r>
  </si>
  <si>
    <r>
      <t>**</t>
    </r>
    <r>
      <rPr>
        <sz val="10"/>
        <rFont val="Times New Roman"/>
        <family val="1"/>
        <charset val="204"/>
      </rPr>
      <t xml:space="preserve"> расшифр. №2 к приложению.  </t>
    </r>
  </si>
  <si>
    <t>Бюджет МР "Ботлихский район" на 2022 г.</t>
  </si>
  <si>
    <t>Приложение 4 к Решению Собрания депутатов</t>
  </si>
  <si>
    <t xml:space="preserve">МР "Ботлихский район" о районном бюджете на </t>
  </si>
  <si>
    <t>2022 год и на плановый период 2023 - 2024 годов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</si>
  <si>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</si>
  <si>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</si>
  <si>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2022 год и на плановый период 2023 - 2024 годов.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</si>
  <si>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</si>
  <si>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</si>
  <si>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</si>
  <si>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</si>
  <si>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</si>
  <si>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</si>
  <si>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</si>
  <si>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</si>
  <si>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</si>
  <si>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</si>
  <si>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</si>
  <si>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</si>
  <si>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</si>
  <si>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</si>
  <si>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</si>
  <si>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</si>
  <si>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</si>
  <si>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</si>
  <si>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</si>
  <si>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</si>
  <si>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</si>
  <si>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</si>
  <si>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</si>
  <si>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</si>
  <si>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</si>
  <si>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</si>
  <si>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</si>
  <si>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</si>
  <si>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</si>
  <si>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</si>
  <si>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</si>
  <si>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</si>
  <si>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</si>
  <si>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</si>
  <si>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</si>
  <si>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</si>
  <si>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</si>
  <si>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</si>
  <si>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</si>
  <si>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</si>
  <si>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</si>
  <si>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</si>
  <si>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</si>
  <si>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</si>
  <si>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</si>
  <si>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</si>
  <si>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Расшифровка №1</t>
  </si>
  <si>
    <t>к приложению 5 к решению Собрания МР "Ботлихский район" на 2022г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</si>
  <si>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</si>
  <si>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</si>
  <si>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</si>
  <si>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в т. ч. к/ремонт зданий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</si>
  <si>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</si>
  <si>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</si>
  <si>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На выполнение муниципальной программы</t>
  </si>
  <si>
    <t>ВСЕГО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</si>
  <si>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</si>
  <si>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</si>
  <si>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</si>
  <si>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</si>
  <si>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</si>
  <si>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</si>
  <si>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</si>
  <si>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</si>
  <si>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</si>
  <si>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</si>
  <si>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</si>
  <si>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</si>
  <si>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</si>
  <si>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</si>
  <si>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</si>
  <si>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</si>
  <si>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</si>
  <si>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</si>
  <si>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</si>
  <si>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</si>
  <si>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</si>
  <si>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</si>
  <si>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</si>
  <si>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</si>
  <si>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</si>
  <si>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</si>
  <si>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</si>
  <si>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</si>
  <si>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</si>
  <si>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</si>
  <si>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</si>
  <si>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Инхело  спортзал</t>
  </si>
  <si>
    <t>Риквани спортзал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</si>
  <si>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</si>
  <si>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</si>
  <si>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</si>
  <si>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</si>
  <si>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>итого дошк учр</t>
  </si>
  <si>
    <t>итого школ учр</t>
  </si>
  <si>
    <t>итого внеш. учр</t>
  </si>
  <si>
    <t>учебно мет каб и ХЭК</t>
  </si>
  <si>
    <t>Всего по рсш</t>
  </si>
  <si>
    <t xml:space="preserve">Приложение 5
 к решению 
 Собрания депутатов 
МР "Ботлихский район" "О районно бюджете  на 2022 год" и на плановый период 2023 - 2024 годов. 
28 декабря 2021г. №19  
</t>
  </si>
  <si>
    <t xml:space="preserve">28 декабря 2021 г №19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</si>
</sst>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sz val="9"/>
      <name val="Times New Roman"/>
      <family val="1"/>
      <charset val="204"/>
    </font>
    <font>
      <sz val="10"/>
      <color indexed="9"/>
      <name val="Arial Cyr"/>
      <charset val="204"/>
    </font>
    <font>
      <sz val="10"/>
      <color theme="0"/>
      <name val="Arial Cyr"/>
      <charset val="204"/>
    </font>
    <font>
      <b/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0" borderId="0" xfId="0" applyNumberFormat="1" applyFont="1" applyFill="1"/>
    <xf numFmtId="3" fontId="2" fillId="0" borderId="0" xfId="0" applyNumberFormat="1" applyFont="1" applyFill="1"/>
    <xf numFmtId="0" fontId="2" fillId="0" borderId="1" xfId="0" applyFont="1" applyFill="1" applyBorder="1"/>
    <xf numFmtId="3" fontId="6" fillId="0" borderId="1" xfId="0" applyNumberFormat="1" applyFont="1" applyFill="1" applyBorder="1"/>
    <xf numFmtId="3" fontId="7" fillId="0" borderId="1" xfId="0" applyNumberFormat="1" applyFont="1" applyFill="1" applyBorder="1"/>
    <xf numFmtId="0" fontId="9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shrinkToFit="1"/>
    </xf>
    <xf numFmtId="3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4" fontId="2" fillId="2" borderId="1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3" fontId="0" fillId="0" borderId="0" xfId="0" applyNumberFormat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3" fontId="3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16" fillId="0" borderId="0" xfId="0" applyFont="1" applyFill="1"/>
    <xf numFmtId="3" fontId="17" fillId="0" borderId="0" xfId="0" applyNumberFormat="1" applyFont="1" applyFill="1"/>
    <xf numFmtId="3" fontId="16" fillId="0" borderId="0" xfId="0" applyNumberFormat="1" applyFont="1" applyFill="1"/>
    <xf numFmtId="3" fontId="18" fillId="0" borderId="0" xfId="0" applyNumberFormat="1" applyFont="1" applyFill="1"/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ont="1" applyFill="1" applyAlignment="1" applyProtection="1">
      <alignment horizontal="center" wrapText="1"/>
      <protection hidden="1"/>
    </xf>
    <xf numFmtId="0" fontId="3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72;&#1088;&#1080;&#1087;/Desktop/&#1055;&#1088;&#1086;&#1077;&#1082;&#1090;%20&#1073;&#1102;&#1076;&#1078;&#1077;&#1090;&#1072;%20&#1085;&#1072;%202022&#1075;/&#1055;&#1088;&#1086;&#1077;&#1082;&#1090;%20&#1073;&#1102;&#1076;&#1078;&#1077;&#1090;&#1072;%20&#1085;&#1072;%202022&#1075;/&#1055;&#1088;&#1086;&#1077;&#1082;&#1090;%20&#1073;&#1102;&#1076;&#1078;&#1077;&#1090;&#1072;%20&#1085;&#1072;%202022&#1075;/&#1055;&#1088;&#1086;&#1077;&#1082;&#1090;%20&#1073;&#1102;&#1076;&#1078;&#1077;&#1090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Свод бюджета района"/>
      <sheetName val="Экран контр"/>
      <sheetName val="Доходы №1"/>
      <sheetName val="ВСРБМР 5"/>
      <sheetName val="РазПодр №4"/>
      <sheetName val="расшифр 1 к №5"/>
      <sheetName val="Автоакц расш №2 к прил 5"/>
      <sheetName val="Субсид посел №10"/>
      <sheetName val="прилож №13 гостан "/>
      <sheetName val="Оценка №2"/>
      <sheetName val="Муниц прогр №0"/>
      <sheetName val="Аппарат свод"/>
      <sheetName val="МКУ Хозслужба"/>
      <sheetName val="МКУ ЕДДС"/>
      <sheetName val="МКУ &quot;Истор краев музей&quot; АМР "/>
      <sheetName val="МКУ РВК"/>
      <sheetName val="ФУ АМР"/>
      <sheetName val="МКУ ФОК"/>
      <sheetName val="редакция МКУ "/>
      <sheetName val="УСХ"/>
      <sheetName val="МБУ ЦБ"/>
      <sheetName val="МБУ ЖКХ"/>
      <sheetName val="Аппарат свод (контр)  "/>
      <sheetName val="МКУ Хозслужба конт"/>
      <sheetName val="МКУ ЕДДС (контр)"/>
      <sheetName val="МКУ Музей контр"/>
      <sheetName val="МКУ РВК контр"/>
      <sheetName val="ФУ АМР (контр)"/>
      <sheetName val="МКУ ФОК конт"/>
      <sheetName val="Редакция  (контр)"/>
      <sheetName val="УСХ контр"/>
      <sheetName val="межбюд тран.№3"/>
      <sheetName val="смета резер 17"/>
      <sheetName val="Смета дох и расх по дор фон №18"/>
      <sheetName val="Публ. объяз 19"/>
      <sheetName val="МБУ ЦБ прил  №20"/>
      <sheetName val="МБУ ЖКХ прил №22"/>
      <sheetName val="МБУ ЖКХ контр обн"/>
      <sheetName val="Свод образ"/>
      <sheetName val="Свод образ (контр)"/>
      <sheetName val="Расц"/>
      <sheetName val="ясли сады"/>
      <sheetName val="псих"/>
      <sheetName val="Гр кратк пребыв"/>
      <sheetName val="Внешколь учр МБУ"/>
      <sheetName val="ДЮСШ и РЦДОД и Ю МБУ"/>
      <sheetName val="МБУ внеш учр прил  №21"/>
      <sheetName val="Свод культ"/>
      <sheetName val="Свод культ контр"/>
      <sheetName val="Сводсоцпол"/>
      <sheetName val="СШ (контр)"/>
      <sheetName val="СШ (контр) по программе)"/>
      <sheetName val="ООШ НШ контр по программе"/>
      <sheetName val="ООШ НШ (контр)  "/>
      <sheetName val="ясли сады (контр)"/>
      <sheetName val="ясли сады (контр) по программе"/>
      <sheetName val="коэфф зарплаты"/>
      <sheetName val="Бюдж расх посел"/>
      <sheetName val="ВУС 12"/>
      <sheetName val="Субс посел на город среду 11"/>
      <sheetName val="Полож дотац"/>
      <sheetName val="Расчет дотации"/>
      <sheetName val="Расч дот РФФПП"/>
      <sheetName val="Дотация пос 8"/>
      <sheetName val="Налоги посел 6"/>
      <sheetName val="Субв пос на перед полн №9"/>
      <sheetName val="Алак"/>
      <sheetName val=" Анди "/>
      <sheetName val="Ансалта"/>
      <sheetName val=" Ашали"/>
      <sheetName val=" Ботлих "/>
      <sheetName val="Гагатли"/>
      <sheetName val="Годобери"/>
      <sheetName val=" Зило "/>
      <sheetName val="Инхело "/>
      <sheetName val="Кванхидатли"/>
      <sheetName val="Кижани"/>
      <sheetName val="Миарсо "/>
      <sheetName val="Муни"/>
      <sheetName val="Рахата"/>
      <sheetName val="Риквани "/>
      <sheetName val="Тандо"/>
      <sheetName val="Тлох"/>
      <sheetName val="Хелетури"/>
      <sheetName val="Чанко "/>
      <sheetName val="Шодрода "/>
      <sheetName val="Итого поселений"/>
      <sheetName val="Алак проект"/>
      <sheetName val=" Анди проект"/>
      <sheetName val="Ансалта проект"/>
      <sheetName val=" Ашали проект"/>
      <sheetName val=" Ботлих проект"/>
      <sheetName val="Гагатли проект"/>
      <sheetName val="Годобери проект"/>
      <sheetName val=" Зило проект"/>
      <sheetName val="Инхело проект"/>
      <sheetName val="Кванхидатли проект"/>
      <sheetName val="Кижани проект"/>
      <sheetName val="Миарсо проект"/>
      <sheetName val="Муни проект"/>
      <sheetName val="Рахата проект"/>
      <sheetName val="Риквани проект"/>
      <sheetName val="Тандо проект"/>
      <sheetName val="Тлох проект"/>
      <sheetName val="Хелетури проект"/>
      <sheetName val="Чанко проект"/>
      <sheetName val="Шодрода проект"/>
      <sheetName val="Итого поселений проект"/>
      <sheetName val="Прил №15  Пит уча 1 4кл "/>
      <sheetName val="прил №16 классное руководство"/>
      <sheetName val="прил №14  пит уч на дом обуч"/>
      <sheetName val="учительство  "/>
      <sheetName val="Школы"/>
      <sheetName val="Свод педнагрузка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штат"/>
      <sheetName val="Свод школ"/>
      <sheetName val="Алак СОШ "/>
      <sheetName val="Анди СОШ №1"/>
      <sheetName val="Анди СОШ №2"/>
      <sheetName val="Ансалта СОШ "/>
      <sheetName val="Ашали ООШ "/>
      <sheetName val="БСШ №1 "/>
      <sheetName val="БСШ №2 "/>
      <sheetName val="БСШ №3 "/>
      <sheetName val="Гагатли СОШ "/>
      <sheetName val="Годобери СОШ "/>
      <sheetName val="Зило СОШ "/>
      <sheetName val="Кванхидатли ООШ "/>
      <sheetName val="Миарсо СОШ "/>
      <sheetName val="Муни СОШ "/>
      <sheetName val="Ортоколо СОШ "/>
      <sheetName val="Рахата СОШ "/>
      <sheetName val="Риквани СОШ "/>
      <sheetName val="Тандо СОШ "/>
      <sheetName val="Тасута ООШ "/>
      <sheetName val="Тлох СОШ "/>
      <sheetName val="Хелетури СОШ "/>
      <sheetName val="Чанко СОШ "/>
      <sheetName val="Шодрода СОШ "/>
      <sheetName val="Инхело ООШ "/>
      <sheetName val="Кижани ООШ "/>
      <sheetName val=" Беледи НОШ "/>
      <sheetName val="В-Алак НОШ "/>
      <sheetName val="Гунха НОШ "/>
      <sheetName val="Зибирхали НОШ "/>
      <sheetName val="Н-Алак НОШ "/>
      <sheetName val="Шиворта НОШ "/>
    </sheetNames>
    <sheetDataSet>
      <sheetData sheetId="0" refreshError="1"/>
      <sheetData sheetId="1">
        <row r="102">
          <cell r="G102">
            <v>7308000</v>
          </cell>
        </row>
        <row r="106">
          <cell r="G106">
            <v>8999999.5211810004</v>
          </cell>
        </row>
      </sheetData>
      <sheetData sheetId="2"/>
      <sheetData sheetId="3">
        <row r="45">
          <cell r="E45">
            <v>1505.4</v>
          </cell>
        </row>
        <row r="56">
          <cell r="F56">
            <v>2.65</v>
          </cell>
          <cell r="G56">
            <v>2.35</v>
          </cell>
        </row>
        <row r="59">
          <cell r="E59">
            <v>1189704.706</v>
          </cell>
          <cell r="F59">
            <v>1115350.456</v>
          </cell>
          <cell r="G59">
            <v>1118354.3660000002</v>
          </cell>
        </row>
      </sheetData>
      <sheetData sheetId="4">
        <row r="10">
          <cell r="G10">
            <v>1865604.0876800001</v>
          </cell>
        </row>
        <row r="14">
          <cell r="G14">
            <v>2065425.3235199999</v>
          </cell>
          <cell r="H14">
            <v>2065425.3235199999</v>
          </cell>
          <cell r="I14">
            <v>2065425.3235199999</v>
          </cell>
        </row>
        <row r="18">
          <cell r="G18">
            <v>13166106.713439999</v>
          </cell>
          <cell r="H18">
            <v>13166106.713439999</v>
          </cell>
          <cell r="I18">
            <v>13166106.713439999</v>
          </cell>
        </row>
        <row r="23">
          <cell r="G23">
            <v>61200</v>
          </cell>
          <cell r="H23">
            <v>2650</v>
          </cell>
          <cell r="I23">
            <v>2350</v>
          </cell>
        </row>
        <row r="25">
          <cell r="G25">
            <v>7548269.7257599998</v>
          </cell>
          <cell r="H25">
            <v>7538269.7257599998</v>
          </cell>
          <cell r="I25">
            <v>7538269.7257599998</v>
          </cell>
        </row>
        <row r="35">
          <cell r="G35">
            <v>2500000</v>
          </cell>
          <cell r="H35">
            <v>2500000</v>
          </cell>
          <cell r="I35">
            <v>2500000</v>
          </cell>
        </row>
        <row r="38">
          <cell r="G38">
            <v>12086209.339199999</v>
          </cell>
          <cell r="H38">
            <v>11996208.339199999</v>
          </cell>
          <cell r="I38">
            <v>11996208.339199999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70">
          <cell r="G70">
            <v>4719248.0707200002</v>
          </cell>
          <cell r="H70">
            <v>4349248.0707200002</v>
          </cell>
          <cell r="I70">
            <v>4349248.0707200002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2">
          <cell r="G82">
            <v>2872584.1817600001</v>
          </cell>
          <cell r="H82">
            <v>2872584.1817600001</v>
          </cell>
          <cell r="I82">
            <v>2872584.1817600001</v>
          </cell>
        </row>
        <row r="88">
          <cell r="G88">
            <v>26096600</v>
          </cell>
          <cell r="H88">
            <v>23204600</v>
          </cell>
          <cell r="I88">
            <v>7473600</v>
          </cell>
        </row>
        <row r="94">
          <cell r="G94">
            <v>907677</v>
          </cell>
          <cell r="H94">
            <v>907677</v>
          </cell>
          <cell r="I94">
            <v>907677</v>
          </cell>
        </row>
        <row r="95">
          <cell r="G95">
            <v>8210000</v>
          </cell>
          <cell r="H95">
            <v>8210000</v>
          </cell>
          <cell r="I95">
            <v>8210000</v>
          </cell>
        </row>
        <row r="96">
          <cell r="G96">
            <v>5572860</v>
          </cell>
          <cell r="H96">
            <v>5572860</v>
          </cell>
          <cell r="I96">
            <v>5572860</v>
          </cell>
        </row>
        <row r="97">
          <cell r="G97">
            <v>258763</v>
          </cell>
        </row>
        <row r="98">
          <cell r="G98">
            <v>9241786</v>
          </cell>
          <cell r="H98">
            <v>8381666</v>
          </cell>
        </row>
        <row r="99">
          <cell r="G99">
            <v>8846043</v>
          </cell>
          <cell r="H99">
            <v>8846043</v>
          </cell>
          <cell r="I99">
            <v>8846043</v>
          </cell>
        </row>
        <row r="100">
          <cell r="G100">
            <v>0</v>
          </cell>
        </row>
        <row r="102">
          <cell r="H102">
            <v>869415530.32872522</v>
          </cell>
          <cell r="I102">
            <v>902182604.32872522</v>
          </cell>
        </row>
        <row r="103">
          <cell r="G103">
            <v>205358731.5425652</v>
          </cell>
          <cell r="H103">
            <v>193210987.63956517</v>
          </cell>
          <cell r="I103">
            <v>225736738.63956517</v>
          </cell>
        </row>
        <row r="113">
          <cell r="G113">
            <v>611975121.90711999</v>
          </cell>
          <cell r="H113">
            <v>589270270.48311996</v>
          </cell>
          <cell r="I113">
            <v>589511593.48311996</v>
          </cell>
        </row>
        <row r="126">
          <cell r="G126">
            <v>78764830</v>
          </cell>
        </row>
        <row r="136">
          <cell r="G136">
            <v>0</v>
          </cell>
          <cell r="H136">
            <v>0</v>
          </cell>
          <cell r="I136">
            <v>0</v>
          </cell>
        </row>
        <row r="139">
          <cell r="G139">
            <v>9812821.2060400005</v>
          </cell>
          <cell r="H139">
            <v>9812821.2060400005</v>
          </cell>
          <cell r="I139">
            <v>9812821.2060400005</v>
          </cell>
        </row>
        <row r="150">
          <cell r="G150">
            <v>30089013.8116</v>
          </cell>
          <cell r="H150">
            <v>30089013.8116</v>
          </cell>
          <cell r="I150">
            <v>30089013.8116</v>
          </cell>
        </row>
        <row r="164">
          <cell r="G164">
            <v>2297796</v>
          </cell>
          <cell r="H164">
            <v>2297796</v>
          </cell>
          <cell r="I164">
            <v>2297796</v>
          </cell>
        </row>
        <row r="167">
          <cell r="G167">
            <v>24000</v>
          </cell>
          <cell r="H167">
            <v>24000</v>
          </cell>
          <cell r="I167">
            <v>24000</v>
          </cell>
        </row>
        <row r="171">
          <cell r="G171">
            <v>5172400</v>
          </cell>
          <cell r="H171">
            <v>4940558</v>
          </cell>
          <cell r="I171">
            <v>4940558</v>
          </cell>
        </row>
        <row r="177">
          <cell r="G177">
            <v>746000</v>
          </cell>
          <cell r="H177">
            <v>746000</v>
          </cell>
          <cell r="I177">
            <v>746000</v>
          </cell>
        </row>
        <row r="182">
          <cell r="H182">
            <v>0</v>
          </cell>
          <cell r="I182">
            <v>0</v>
          </cell>
        </row>
        <row r="184">
          <cell r="G184">
            <v>6258080.0030000005</v>
          </cell>
          <cell r="H184">
            <v>6258080.0030000005</v>
          </cell>
          <cell r="I184">
            <v>6258080.0030000005</v>
          </cell>
        </row>
        <row r="189">
          <cell r="G189">
            <v>2069234.31008</v>
          </cell>
          <cell r="H189">
            <v>1319234.31008</v>
          </cell>
          <cell r="I189">
            <v>1319234.31008</v>
          </cell>
        </row>
        <row r="196">
          <cell r="G196">
            <v>2327895.0288</v>
          </cell>
          <cell r="H196">
            <v>2327895.0288</v>
          </cell>
          <cell r="I196">
            <v>2327895.0288</v>
          </cell>
        </row>
        <row r="201">
          <cell r="G201">
            <v>4405306.5289999992</v>
          </cell>
          <cell r="H201">
            <v>4405306.5289999992</v>
          </cell>
          <cell r="I201">
            <v>4301908.3640000001</v>
          </cell>
        </row>
        <row r="205">
          <cell r="G205">
            <v>11500</v>
          </cell>
          <cell r="H205">
            <v>11500</v>
          </cell>
          <cell r="I205">
            <v>7700</v>
          </cell>
        </row>
        <row r="207">
          <cell r="G207">
            <v>101126000.00000001</v>
          </cell>
          <cell r="H207">
            <v>65898000</v>
          </cell>
          <cell r="I207">
            <v>62603000</v>
          </cell>
        </row>
        <row r="210">
          <cell r="G210">
            <v>19416999.521181002</v>
          </cell>
          <cell r="H210">
            <v>22307999.521181002</v>
          </cell>
          <cell r="I210">
            <v>20059999.521181002</v>
          </cell>
        </row>
        <row r="217">
          <cell r="G217">
            <v>1185874106.3014662</v>
          </cell>
        </row>
      </sheetData>
      <sheetData sheetId="5">
        <row r="66">
          <cell r="D66">
            <v>1185874106.3014662</v>
          </cell>
        </row>
      </sheetData>
      <sheetData sheetId="6"/>
      <sheetData sheetId="7">
        <row r="29">
          <cell r="C29">
            <v>21515000</v>
          </cell>
          <cell r="D29">
            <v>18623000</v>
          </cell>
          <cell r="E29">
            <v>2892000</v>
          </cell>
        </row>
        <row r="45">
          <cell r="C45">
            <v>4059668</v>
          </cell>
        </row>
        <row r="46">
          <cell r="D46">
            <v>521932</v>
          </cell>
        </row>
      </sheetData>
      <sheetData sheetId="8">
        <row r="35">
          <cell r="B35">
            <v>1000000</v>
          </cell>
        </row>
        <row r="36">
          <cell r="B36">
            <v>500000</v>
          </cell>
        </row>
      </sheetData>
      <sheetData sheetId="9">
        <row r="44">
          <cell r="H44">
            <v>372361242.06</v>
          </cell>
          <cell r="J44">
            <v>112453095.10211998</v>
          </cell>
          <cell r="N44">
            <v>9398662.5000000019</v>
          </cell>
          <cell r="O44">
            <v>0</v>
          </cell>
          <cell r="P44">
            <v>0</v>
          </cell>
        </row>
        <row r="62">
          <cell r="H62">
            <v>89180437.002308145</v>
          </cell>
          <cell r="I62">
            <v>383241</v>
          </cell>
          <cell r="J62">
            <v>26932491.974697053</v>
          </cell>
          <cell r="K62">
            <v>0</v>
          </cell>
          <cell r="L62">
            <v>29480</v>
          </cell>
          <cell r="M62">
            <v>103180</v>
          </cell>
          <cell r="N62">
            <v>3559485.82</v>
          </cell>
          <cell r="O62">
            <v>88440</v>
          </cell>
          <cell r="P62">
            <v>893244</v>
          </cell>
        </row>
        <row r="73">
          <cell r="H73">
            <v>0</v>
          </cell>
          <cell r="J73">
            <v>0</v>
          </cell>
        </row>
      </sheetData>
      <sheetData sheetId="10"/>
      <sheetData sheetId="11">
        <row r="29">
          <cell r="H29">
            <v>0</v>
          </cell>
        </row>
        <row r="102">
          <cell r="H102">
            <v>0</v>
          </cell>
        </row>
        <row r="108">
          <cell r="H108">
            <v>0</v>
          </cell>
        </row>
      </sheetData>
      <sheetData sheetId="12">
        <row r="7">
          <cell r="AK7">
            <v>1573780.29128</v>
          </cell>
          <cell r="AL7">
            <v>291822.79640000011</v>
          </cell>
        </row>
        <row r="9">
          <cell r="AK9">
            <v>2005253.4064199999</v>
          </cell>
          <cell r="AL9">
            <v>60170.917099999962</v>
          </cell>
        </row>
        <row r="12">
          <cell r="AK12">
            <v>1694462.0127599998</v>
          </cell>
          <cell r="AL12">
            <v>170669.09379999992</v>
          </cell>
          <cell r="AM12">
            <v>10000</v>
          </cell>
        </row>
        <row r="14">
          <cell r="AK14">
            <v>1606277.79262</v>
          </cell>
          <cell r="AL14">
            <v>47260.198099999921</v>
          </cell>
        </row>
        <row r="15">
          <cell r="AR15">
            <v>61200</v>
          </cell>
        </row>
        <row r="16">
          <cell r="AK16">
            <v>0</v>
          </cell>
          <cell r="AL16">
            <v>0</v>
          </cell>
        </row>
        <row r="17">
          <cell r="AK17">
            <v>0</v>
          </cell>
          <cell r="AL17">
            <v>58400</v>
          </cell>
        </row>
        <row r="18">
          <cell r="AO18">
            <v>2500000</v>
          </cell>
        </row>
        <row r="19">
          <cell r="AK19">
            <v>323379.63918</v>
          </cell>
          <cell r="AL19">
            <v>48620.110900000029</v>
          </cell>
        </row>
        <row r="20">
          <cell r="AK20">
            <v>597317.00630000001</v>
          </cell>
          <cell r="AL20">
            <v>146682.80649999995</v>
          </cell>
        </row>
        <row r="22">
          <cell r="AK22">
            <v>9459981.1262400001</v>
          </cell>
          <cell r="AL22">
            <v>3308813.3511999995</v>
          </cell>
          <cell r="AM22">
            <v>397313.23600000003</v>
          </cell>
        </row>
        <row r="26">
          <cell r="AK26">
            <v>1265233.9307200001</v>
          </cell>
          <cell r="AL26">
            <v>489640.81359999999</v>
          </cell>
          <cell r="AM26">
            <v>0</v>
          </cell>
          <cell r="AN26">
            <v>0</v>
          </cell>
        </row>
        <row r="38">
          <cell r="AK38">
            <v>1254770.0241799999</v>
          </cell>
          <cell r="AL38">
            <v>64464.285900000017</v>
          </cell>
        </row>
        <row r="39">
          <cell r="AL39">
            <v>750000</v>
          </cell>
        </row>
        <row r="43">
          <cell r="AL43">
            <v>0</v>
          </cell>
        </row>
        <row r="46">
          <cell r="BM46">
            <v>11500</v>
          </cell>
        </row>
      </sheetData>
      <sheetData sheetId="13">
        <row r="7">
          <cell r="Z7">
            <v>4876660.53</v>
          </cell>
          <cell r="AA7">
            <v>1510893.5019999994</v>
          </cell>
          <cell r="AB7">
            <v>0</v>
          </cell>
          <cell r="AC7">
            <v>0</v>
          </cell>
        </row>
      </sheetData>
      <sheetData sheetId="14">
        <row r="7">
          <cell r="Z7">
            <v>2585710.08</v>
          </cell>
          <cell r="AA7">
            <v>110000</v>
          </cell>
        </row>
      </sheetData>
      <sheetData sheetId="15">
        <row r="7">
          <cell r="AC7">
            <v>1975178.2679999999</v>
          </cell>
          <cell r="AD7">
            <v>591063.80999999982</v>
          </cell>
        </row>
      </sheetData>
      <sheetData sheetId="16">
        <row r="7">
          <cell r="AC7">
            <v>1668864.5867999999</v>
          </cell>
          <cell r="AD7">
            <v>656030.44200000004</v>
          </cell>
          <cell r="AE7">
            <v>3000</v>
          </cell>
        </row>
      </sheetData>
      <sheetData sheetId="17">
        <row r="7">
          <cell r="AC7">
            <v>5174129.5657000002</v>
          </cell>
          <cell r="AD7">
            <v>544010.05350000039</v>
          </cell>
          <cell r="AE7">
            <v>0</v>
          </cell>
        </row>
      </sheetData>
      <sheetData sheetId="18">
        <row r="7">
          <cell r="Z7">
            <v>4484587.9680000003</v>
          </cell>
          <cell r="AA7">
            <v>447596.55499999993</v>
          </cell>
          <cell r="AB7">
            <v>1295895.4800000002</v>
          </cell>
        </row>
        <row r="8">
          <cell r="AD8">
            <v>0</v>
          </cell>
        </row>
      </sheetData>
      <sheetData sheetId="19">
        <row r="7">
          <cell r="AC7">
            <v>3819974.3640000001</v>
          </cell>
          <cell r="AD7">
            <v>585332.16499999911</v>
          </cell>
          <cell r="AE7">
            <v>0</v>
          </cell>
        </row>
      </sheetData>
      <sheetData sheetId="20">
        <row r="7">
          <cell r="AC7">
            <v>2598966.5819600001</v>
          </cell>
          <cell r="AD7">
            <v>273616.59979999997</v>
          </cell>
          <cell r="AE7">
            <v>0</v>
          </cell>
        </row>
      </sheetData>
      <sheetData sheetId="21">
        <row r="6">
          <cell r="V6">
            <v>2679380</v>
          </cell>
        </row>
        <row r="7">
          <cell r="V7">
            <v>0</v>
          </cell>
        </row>
      </sheetData>
      <sheetData sheetId="22">
        <row r="9">
          <cell r="AO9">
            <v>907677</v>
          </cell>
        </row>
        <row r="10">
          <cell r="AO10">
            <v>5572860</v>
          </cell>
        </row>
        <row r="14">
          <cell r="AO14">
            <v>258763</v>
          </cell>
        </row>
        <row r="21">
          <cell r="AO21">
            <v>8210000</v>
          </cell>
        </row>
        <row r="34">
          <cell r="AO34">
            <v>8491786</v>
          </cell>
        </row>
        <row r="46">
          <cell r="AO46">
            <v>750000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2">
          <cell r="C12">
            <v>2297796</v>
          </cell>
        </row>
        <row r="13">
          <cell r="C13">
            <v>24000</v>
          </cell>
        </row>
      </sheetData>
      <sheetData sheetId="36"/>
      <sheetData sheetId="37">
        <row r="19">
          <cell r="C19">
            <v>8846043</v>
          </cell>
        </row>
      </sheetData>
      <sheetData sheetId="38"/>
      <sheetData sheetId="39">
        <row r="10">
          <cell r="AH10">
            <v>158097529.81956518</v>
          </cell>
          <cell r="AI10">
            <v>45552104.72300002</v>
          </cell>
          <cell r="AJ10">
            <v>3324495</v>
          </cell>
          <cell r="AK10">
            <v>0</v>
          </cell>
        </row>
        <row r="12">
          <cell r="AH12">
            <v>18993581.07</v>
          </cell>
        </row>
        <row r="13">
          <cell r="AH13">
            <v>2403662.9220000003</v>
          </cell>
        </row>
        <row r="14">
          <cell r="AH14">
            <v>423621.13500000001</v>
          </cell>
        </row>
        <row r="15">
          <cell r="AI15">
            <v>62288885.923999988</v>
          </cell>
          <cell r="AJ15">
            <v>5925608.898000001</v>
          </cell>
          <cell r="AK15">
            <v>1445000</v>
          </cell>
        </row>
        <row r="20">
          <cell r="AH20">
            <v>5851277.8159999996</v>
          </cell>
          <cell r="AI20">
            <v>687036.00200000033</v>
          </cell>
          <cell r="AJ20">
            <v>70000</v>
          </cell>
          <cell r="AK20">
            <v>0</v>
          </cell>
          <cell r="DO20">
            <v>10000</v>
          </cell>
        </row>
        <row r="21">
          <cell r="AH21">
            <v>80000</v>
          </cell>
          <cell r="AI21">
            <v>374000</v>
          </cell>
          <cell r="AJ21">
            <v>65780</v>
          </cell>
          <cell r="AK21">
            <v>0</v>
          </cell>
        </row>
        <row r="22">
          <cell r="AH22">
            <v>5931277.8159999996</v>
          </cell>
          <cell r="AI22">
            <v>1061036.0020000003</v>
          </cell>
          <cell r="AJ22">
            <v>135780</v>
          </cell>
        </row>
        <row r="23">
          <cell r="AH23">
            <v>0</v>
          </cell>
          <cell r="AI23">
            <v>2870000</v>
          </cell>
          <cell r="AJ23">
            <v>0</v>
          </cell>
          <cell r="AK23">
            <v>0</v>
          </cell>
        </row>
        <row r="24">
          <cell r="AH24">
            <v>2433211.9438399998</v>
          </cell>
          <cell r="AI24">
            <v>251514.44420000026</v>
          </cell>
          <cell r="AJ24">
            <v>0</v>
          </cell>
        </row>
        <row r="25">
          <cell r="AI25">
            <v>0</v>
          </cell>
        </row>
        <row r="37">
          <cell r="AH37">
            <v>709362</v>
          </cell>
          <cell r="AI37">
            <v>36638</v>
          </cell>
        </row>
      </sheetData>
      <sheetData sheetId="40"/>
      <sheetData sheetId="41"/>
      <sheetData sheetId="42">
        <row r="5">
          <cell r="B5" t="str">
            <v>МКДОУ "Ромашка" с Алак</v>
          </cell>
          <cell r="AH5">
            <v>6051608.5895332843</v>
          </cell>
          <cell r="AI5">
            <v>1486778.9608548172</v>
          </cell>
          <cell r="AJ5">
            <v>10000</v>
          </cell>
          <cell r="AK5">
            <v>0</v>
          </cell>
          <cell r="ED5">
            <v>10000</v>
          </cell>
        </row>
        <row r="6">
          <cell r="B6" t="str">
            <v xml:space="preserve">МКДОУ "Светлячок" с Анди  </v>
          </cell>
          <cell r="AH6">
            <v>13094297.911682349</v>
          </cell>
          <cell r="AI6">
            <v>3476478.2414721847</v>
          </cell>
          <cell r="AJ6">
            <v>10000</v>
          </cell>
          <cell r="AK6">
            <v>0</v>
          </cell>
          <cell r="ED6">
            <v>10000</v>
          </cell>
        </row>
        <row r="7">
          <cell r="B7" t="str">
            <v>МКДОУ "Аист" с  Ансалта</v>
          </cell>
          <cell r="AH7">
            <v>15985668.795087993</v>
          </cell>
          <cell r="AI7">
            <v>5041069.7048127577</v>
          </cell>
          <cell r="AJ7">
            <v>10000</v>
          </cell>
          <cell r="AK7">
            <v>0</v>
          </cell>
          <cell r="ED7">
            <v>10000</v>
          </cell>
        </row>
        <row r="8">
          <cell r="B8" t="str">
            <v xml:space="preserve">МКДОУ "Чебурашка" с Ботлих  </v>
          </cell>
          <cell r="AH8">
            <v>18219558.287922986</v>
          </cell>
          <cell r="AI8">
            <v>5272344.9529335089</v>
          </cell>
          <cell r="AJ8">
            <v>10000</v>
          </cell>
          <cell r="AK8">
            <v>0</v>
          </cell>
          <cell r="ED8">
            <v>10000</v>
          </cell>
        </row>
        <row r="9">
          <cell r="B9" t="str">
            <v>МКДОУ "Солнышко" с  Ботлих</v>
          </cell>
          <cell r="AH9">
            <v>15622499.925031003</v>
          </cell>
          <cell r="AI9">
            <v>4802287.3494902775</v>
          </cell>
          <cell r="AJ9">
            <v>10000</v>
          </cell>
          <cell r="AK9">
            <v>0</v>
          </cell>
          <cell r="ED9">
            <v>10000</v>
          </cell>
        </row>
        <row r="10">
          <cell r="B10" t="str">
            <v>МКДОУ "Родничок" с  Ботлих</v>
          </cell>
          <cell r="AH10">
            <v>12995604.133943895</v>
          </cell>
          <cell r="AI10">
            <v>4984255.3378303926</v>
          </cell>
          <cell r="AJ10">
            <v>10000</v>
          </cell>
          <cell r="AK10">
            <v>0</v>
          </cell>
          <cell r="ED10">
            <v>10000</v>
          </cell>
        </row>
        <row r="11">
          <cell r="B11" t="str">
            <v xml:space="preserve">МКДОУ "Орленок" с Гагатли </v>
          </cell>
          <cell r="AH11">
            <v>8922177.2297540922</v>
          </cell>
          <cell r="AI11">
            <v>3197042.2651316151</v>
          </cell>
          <cell r="AJ11">
            <v>10000</v>
          </cell>
          <cell r="AK11">
            <v>0</v>
          </cell>
          <cell r="ED11">
            <v>10000</v>
          </cell>
        </row>
        <row r="12">
          <cell r="B12" t="str">
            <v>МКДОУ "Улыбка" с  Муни</v>
          </cell>
          <cell r="AH12">
            <v>8873218.1789723746</v>
          </cell>
          <cell r="AI12">
            <v>2348878.606397558</v>
          </cell>
          <cell r="AJ12">
            <v>10000</v>
          </cell>
          <cell r="AK12">
            <v>0</v>
          </cell>
          <cell r="ED12">
            <v>10000</v>
          </cell>
        </row>
        <row r="13">
          <cell r="B13" t="str">
            <v xml:space="preserve">МКДОУ "Ласточка" с Рахата  </v>
          </cell>
          <cell r="AH13">
            <v>17929086.418172069</v>
          </cell>
          <cell r="AI13">
            <v>4665993.9179050215</v>
          </cell>
          <cell r="AJ13">
            <v>10000</v>
          </cell>
          <cell r="AK13">
            <v>0</v>
          </cell>
          <cell r="ED13">
            <v>10000</v>
          </cell>
        </row>
        <row r="14">
          <cell r="B14" t="str">
            <v>МКДОУ "Звездочка" с  Тандо</v>
          </cell>
          <cell r="AH14">
            <v>5126443.7659311425</v>
          </cell>
          <cell r="AI14">
            <v>1272308.4062306648</v>
          </cell>
          <cell r="AJ14">
            <v>10000</v>
          </cell>
          <cell r="AK14">
            <v>0</v>
          </cell>
          <cell r="ED14">
            <v>10000</v>
          </cell>
        </row>
        <row r="15">
          <cell r="B15" t="str">
            <v xml:space="preserve">МКДОУ "Радуга" с Тлох </v>
          </cell>
          <cell r="AH15">
            <v>8530724.8464967273</v>
          </cell>
          <cell r="AI15">
            <v>2647206.2519081887</v>
          </cell>
          <cell r="AJ15">
            <v>10000</v>
          </cell>
          <cell r="AK15">
            <v>0</v>
          </cell>
          <cell r="ED15">
            <v>10000</v>
          </cell>
        </row>
        <row r="16">
          <cell r="B16" t="str">
            <v xml:space="preserve">МКДОУ "Сказка" с Ашали  </v>
          </cell>
          <cell r="AH16">
            <v>4220890.1034323014</v>
          </cell>
          <cell r="AI16">
            <v>1350759.1350603802</v>
          </cell>
          <cell r="AJ16">
            <v>10000</v>
          </cell>
          <cell r="AK16">
            <v>0</v>
          </cell>
          <cell r="ED16">
            <v>10000</v>
          </cell>
        </row>
        <row r="17">
          <cell r="B17" t="str">
            <v>МКДОУ "Журавлик" с  Шодрода</v>
          </cell>
          <cell r="AH17">
            <v>3501567.6541323606</v>
          </cell>
          <cell r="AI17">
            <v>829175.99237245508</v>
          </cell>
          <cell r="AJ17">
            <v>10000</v>
          </cell>
          <cell r="AK17">
            <v>0</v>
          </cell>
          <cell r="ED17">
            <v>10000</v>
          </cell>
        </row>
        <row r="18">
          <cell r="B18" t="str">
            <v>МКДОУ "Теремок" с  Годобери</v>
          </cell>
          <cell r="AH18">
            <v>7945253.1260544555</v>
          </cell>
          <cell r="AI18">
            <v>2037054.0899613323</v>
          </cell>
          <cell r="AJ18">
            <v>10000</v>
          </cell>
          <cell r="AK18">
            <v>0</v>
          </cell>
          <cell r="ED18">
            <v>10000</v>
          </cell>
        </row>
        <row r="19">
          <cell r="B19" t="str">
            <v xml:space="preserve">МКДОУ "Орленок" с  Зило </v>
          </cell>
          <cell r="AH19">
            <v>3761829.8359227176</v>
          </cell>
          <cell r="AI19">
            <v>778671.37406037981</v>
          </cell>
          <cell r="AJ19">
            <v>10000</v>
          </cell>
          <cell r="AK19">
            <v>0</v>
          </cell>
          <cell r="ED19">
            <v>10000</v>
          </cell>
        </row>
        <row r="20">
          <cell r="B20" t="str">
            <v>МКДОУ "Золотой ключик" в/городок</v>
          </cell>
          <cell r="AH20">
            <v>7317101.0174954487</v>
          </cell>
          <cell r="AI20">
            <v>4876295.1365784714</v>
          </cell>
          <cell r="AJ20">
            <v>10000</v>
          </cell>
          <cell r="AK20">
            <v>0</v>
          </cell>
          <cell r="ED20">
            <v>10000</v>
          </cell>
        </row>
        <row r="21">
          <cell r="BQ21">
            <v>0</v>
          </cell>
        </row>
      </sheetData>
      <sheetData sheetId="43"/>
      <sheetData sheetId="44"/>
      <sheetData sheetId="45">
        <row r="54">
          <cell r="AN54">
            <v>201585</v>
          </cell>
        </row>
        <row r="55">
          <cell r="AN55">
            <v>65719195</v>
          </cell>
        </row>
        <row r="57">
          <cell r="U57">
            <v>800000</v>
          </cell>
        </row>
        <row r="59">
          <cell r="AN59">
            <v>9174050</v>
          </cell>
        </row>
      </sheetData>
      <sheetData sheetId="46">
        <row r="13">
          <cell r="CE13">
            <v>2000000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870000</v>
          </cell>
        </row>
        <row r="15">
          <cell r="AG15">
            <v>0</v>
          </cell>
        </row>
        <row r="16">
          <cell r="AG16">
            <v>0</v>
          </cell>
        </row>
      </sheetData>
      <sheetData sheetId="47"/>
      <sheetData sheetId="48">
        <row r="7">
          <cell r="AI7">
            <v>12388511.244800001</v>
          </cell>
          <cell r="AJ7">
            <v>2258045.2599999993</v>
          </cell>
          <cell r="AL7">
            <v>116118.85</v>
          </cell>
        </row>
        <row r="11">
          <cell r="AI11">
            <v>6232493.7878</v>
          </cell>
          <cell r="AJ11">
            <v>175099.5</v>
          </cell>
          <cell r="AL11">
            <v>55275.25</v>
          </cell>
        </row>
        <row r="12">
          <cell r="AI12">
            <v>6007226.841</v>
          </cell>
          <cell r="AJ12">
            <v>72000</v>
          </cell>
          <cell r="AL12">
            <v>48000</v>
          </cell>
        </row>
        <row r="13">
          <cell r="AM13">
            <v>170000</v>
          </cell>
        </row>
      </sheetData>
      <sheetData sheetId="49"/>
      <sheetData sheetId="50">
        <row r="12">
          <cell r="H12">
            <v>675000</v>
          </cell>
        </row>
        <row r="13">
          <cell r="H13">
            <v>675000</v>
          </cell>
        </row>
        <row r="16">
          <cell r="H16">
            <v>2317000</v>
          </cell>
        </row>
      </sheetData>
      <sheetData sheetId="51"/>
      <sheetData sheetId="52"/>
      <sheetData sheetId="53"/>
      <sheetData sheetId="54"/>
      <sheetData sheetId="55"/>
      <sheetData sheetId="56">
        <row r="25">
          <cell r="D25">
            <v>0</v>
          </cell>
        </row>
      </sheetData>
      <sheetData sheetId="57"/>
      <sheetData sheetId="58"/>
      <sheetData sheetId="59">
        <row r="32">
          <cell r="B32">
            <v>3109000</v>
          </cell>
        </row>
      </sheetData>
      <sheetData sheetId="60"/>
      <sheetData sheetId="61"/>
      <sheetData sheetId="62"/>
      <sheetData sheetId="63"/>
      <sheetData sheetId="64">
        <row r="30">
          <cell r="B30">
            <v>101126000.00000001</v>
          </cell>
        </row>
        <row r="33">
          <cell r="B33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4">
          <cell r="D44">
            <v>35688077.795999989</v>
          </cell>
          <cell r="G44">
            <v>35688077.795999989</v>
          </cell>
          <cell r="H44">
            <v>35688077.795999989</v>
          </cell>
        </row>
      </sheetData>
      <sheetData sheetId="111"/>
      <sheetData sheetId="112">
        <row r="5">
          <cell r="BH5">
            <v>666720</v>
          </cell>
          <cell r="BO5">
            <v>26098405.474844448</v>
          </cell>
        </row>
        <row r="6">
          <cell r="BH6">
            <v>766728</v>
          </cell>
          <cell r="BO6">
            <v>27648221.246711116</v>
          </cell>
        </row>
        <row r="7">
          <cell r="BH7">
            <v>862569</v>
          </cell>
          <cell r="BO7">
            <v>26371024.551844448</v>
          </cell>
        </row>
        <row r="8">
          <cell r="BH8">
            <v>833400</v>
          </cell>
          <cell r="BO8">
            <v>27242356.888</v>
          </cell>
        </row>
        <row r="9">
          <cell r="BH9">
            <v>383364</v>
          </cell>
          <cell r="BO9">
            <v>10217726.099177778</v>
          </cell>
        </row>
        <row r="10">
          <cell r="BH10">
            <v>916740</v>
          </cell>
          <cell r="BO10">
            <v>35819944.980222218</v>
          </cell>
        </row>
        <row r="11">
          <cell r="BH11">
            <v>916740</v>
          </cell>
          <cell r="BO11">
            <v>35664687.324311115</v>
          </cell>
        </row>
        <row r="12">
          <cell r="BH12">
            <v>500040</v>
          </cell>
          <cell r="BO12">
            <v>14946407.135066666</v>
          </cell>
        </row>
        <row r="13">
          <cell r="BH13">
            <v>766728</v>
          </cell>
          <cell r="BO13">
            <v>22393641.135799997</v>
          </cell>
        </row>
        <row r="14">
          <cell r="BH14">
            <v>958410</v>
          </cell>
          <cell r="BO14">
            <v>30926368.722377773</v>
          </cell>
        </row>
        <row r="15">
          <cell r="BH15">
            <v>479205</v>
          </cell>
          <cell r="BO15">
            <v>13536780.381844446</v>
          </cell>
        </row>
        <row r="16">
          <cell r="BH16">
            <v>250020</v>
          </cell>
          <cell r="BO16">
            <v>10057592.390888888</v>
          </cell>
        </row>
        <row r="17">
          <cell r="BH17">
            <v>583380</v>
          </cell>
          <cell r="BO17">
            <v>19426505.276666667</v>
          </cell>
        </row>
        <row r="18">
          <cell r="BH18">
            <v>833400</v>
          </cell>
          <cell r="BO18">
            <v>26710329.522444446</v>
          </cell>
        </row>
        <row r="19">
          <cell r="BH19">
            <v>1258434</v>
          </cell>
          <cell r="BO19">
            <v>12091054.853111111</v>
          </cell>
        </row>
        <row r="20">
          <cell r="BH20">
            <v>916740</v>
          </cell>
          <cell r="BO20">
            <v>24356114.965555556</v>
          </cell>
        </row>
        <row r="21">
          <cell r="BH21">
            <v>383364</v>
          </cell>
          <cell r="BO21">
            <v>12151347.287133334</v>
          </cell>
        </row>
        <row r="22">
          <cell r="BH22">
            <v>416700</v>
          </cell>
          <cell r="BO22">
            <v>13723423.625111111</v>
          </cell>
        </row>
        <row r="23">
          <cell r="BH23">
            <v>287523</v>
          </cell>
          <cell r="BO23">
            <v>10393809.372217776</v>
          </cell>
        </row>
        <row r="24">
          <cell r="BH24">
            <v>833400</v>
          </cell>
          <cell r="BO24">
            <v>29735017.636222221</v>
          </cell>
        </row>
        <row r="25">
          <cell r="BH25">
            <v>287523</v>
          </cell>
          <cell r="BO25">
            <v>13372671.108622223</v>
          </cell>
        </row>
        <row r="26">
          <cell r="BH26">
            <v>383364</v>
          </cell>
          <cell r="BO26">
            <v>13551584.50408889</v>
          </cell>
        </row>
        <row r="27">
          <cell r="BH27">
            <v>416700</v>
          </cell>
          <cell r="BO27">
            <v>10126657.584222222</v>
          </cell>
        </row>
        <row r="28">
          <cell r="BH28">
            <v>500040</v>
          </cell>
          <cell r="BO28">
            <v>10454932.683111113</v>
          </cell>
        </row>
        <row r="29">
          <cell r="BH29">
            <v>383364</v>
          </cell>
          <cell r="BO29">
            <v>9574676.699617777</v>
          </cell>
        </row>
        <row r="30">
          <cell r="BH30">
            <v>41670</v>
          </cell>
          <cell r="BO30">
            <v>956091.74351111113</v>
          </cell>
        </row>
        <row r="31">
          <cell r="BH31">
            <v>47920.5</v>
          </cell>
          <cell r="BO31">
            <v>1456352.4831555553</v>
          </cell>
        </row>
        <row r="32">
          <cell r="BH32">
            <v>95841</v>
          </cell>
          <cell r="BO32">
            <v>1828387.7648622219</v>
          </cell>
        </row>
        <row r="33">
          <cell r="BH33">
            <v>47920.5</v>
          </cell>
          <cell r="BO33">
            <v>1062891.1579111109</v>
          </cell>
        </row>
        <row r="34">
          <cell r="BH34">
            <v>41670</v>
          </cell>
          <cell r="BO34">
            <v>1238029.4775555555</v>
          </cell>
        </row>
        <row r="35">
          <cell r="BH35">
            <v>47920.5</v>
          </cell>
          <cell r="BO35">
            <v>1079965.585911111</v>
          </cell>
        </row>
      </sheetData>
      <sheetData sheetId="113">
        <row r="10">
          <cell r="AJ10">
            <v>2953356.0844444446</v>
          </cell>
          <cell r="AK10">
            <v>97051.991999999998</v>
          </cell>
          <cell r="AL10">
            <v>0</v>
          </cell>
          <cell r="BB10">
            <v>40350</v>
          </cell>
          <cell r="CT10">
            <v>1545369.8399999999</v>
          </cell>
        </row>
        <row r="11">
          <cell r="AJ11">
            <v>2985634.2311111167</v>
          </cell>
          <cell r="AK11">
            <v>158846.21400000001</v>
          </cell>
          <cell r="AL11">
            <v>0</v>
          </cell>
          <cell r="BB11">
            <v>46500</v>
          </cell>
          <cell r="CT11">
            <v>1779729.8399999999</v>
          </cell>
        </row>
        <row r="12">
          <cell r="AJ12">
            <v>3056091.1644444428</v>
          </cell>
          <cell r="AK12">
            <v>431564.48900000006</v>
          </cell>
          <cell r="AL12">
            <v>0</v>
          </cell>
          <cell r="BB12">
            <v>45750</v>
          </cell>
          <cell r="CT12">
            <v>1868716.3319999999</v>
          </cell>
        </row>
        <row r="13">
          <cell r="AJ13">
            <v>4545564.6300000027</v>
          </cell>
          <cell r="AK13">
            <v>243788.01900000003</v>
          </cell>
          <cell r="AL13">
            <v>0</v>
          </cell>
          <cell r="BB13">
            <v>61650</v>
          </cell>
          <cell r="CT13">
            <v>1854443.808</v>
          </cell>
        </row>
        <row r="14">
          <cell r="AJ14">
            <v>861737.68777777813</v>
          </cell>
          <cell r="AK14">
            <v>70443.418000000005</v>
          </cell>
          <cell r="AL14">
            <v>0</v>
          </cell>
          <cell r="BB14">
            <v>7200</v>
          </cell>
          <cell r="CT14">
            <v>800878.42799999996</v>
          </cell>
        </row>
        <row r="15">
          <cell r="AJ15">
            <v>5543234.5182222202</v>
          </cell>
          <cell r="AK15">
            <v>259920.43800000002</v>
          </cell>
          <cell r="AL15">
            <v>0</v>
          </cell>
          <cell r="BB15">
            <v>84150</v>
          </cell>
          <cell r="CT15">
            <v>2627128.7280000001</v>
          </cell>
        </row>
        <row r="16">
          <cell r="AJ16">
            <v>5048287.0371111035</v>
          </cell>
          <cell r="AK16">
            <v>482977.48</v>
          </cell>
          <cell r="AL16">
            <v>0</v>
          </cell>
          <cell r="BB16">
            <v>88050</v>
          </cell>
          <cell r="CT16">
            <v>2472591.7439999999</v>
          </cell>
        </row>
        <row r="17">
          <cell r="AJ17">
            <v>1604037.3886666652</v>
          </cell>
          <cell r="AK17">
            <v>1049991.4810000001</v>
          </cell>
          <cell r="AL17">
            <v>0</v>
          </cell>
          <cell r="BB17">
            <v>23100</v>
          </cell>
          <cell r="CT17">
            <v>849953.41200000001</v>
          </cell>
        </row>
        <row r="18">
          <cell r="AJ18">
            <v>3212153.2199999988</v>
          </cell>
          <cell r="AK18">
            <v>373723.40800000005</v>
          </cell>
          <cell r="AL18">
            <v>0</v>
          </cell>
          <cell r="BB18">
            <v>44100</v>
          </cell>
          <cell r="CT18">
            <v>1779729.8399999999</v>
          </cell>
        </row>
        <row r="19">
          <cell r="AJ19">
            <v>3953651.4677777737</v>
          </cell>
          <cell r="AK19">
            <v>101638.86599999999</v>
          </cell>
          <cell r="AL19">
            <v>0</v>
          </cell>
          <cell r="BB19">
            <v>62850</v>
          </cell>
          <cell r="CT19">
            <v>2313643.5839999998</v>
          </cell>
        </row>
        <row r="20">
          <cell r="AJ20">
            <v>1554060.4144444447</v>
          </cell>
          <cell r="AK20">
            <v>304820.78000000003</v>
          </cell>
          <cell r="AL20">
            <v>0</v>
          </cell>
          <cell r="BB20">
            <v>12150</v>
          </cell>
          <cell r="CT20">
            <v>978851.41199999978</v>
          </cell>
        </row>
        <row r="21">
          <cell r="AJ21">
            <v>671584.99888888933</v>
          </cell>
          <cell r="AK21">
            <v>60625.782000000007</v>
          </cell>
          <cell r="AL21">
            <v>0</v>
          </cell>
          <cell r="BB21">
            <v>5850</v>
          </cell>
          <cell r="CT21">
            <v>695416.42799999996</v>
          </cell>
        </row>
        <row r="22">
          <cell r="AJ22">
            <v>2350595.2166666687</v>
          </cell>
          <cell r="AK22">
            <v>217763.978</v>
          </cell>
          <cell r="AL22">
            <v>0</v>
          </cell>
          <cell r="BB22">
            <v>32100</v>
          </cell>
          <cell r="CT22">
            <v>1313564.3640000001</v>
          </cell>
        </row>
        <row r="23">
          <cell r="AJ23">
            <v>3559786.3344444446</v>
          </cell>
          <cell r="AK23">
            <v>245115.25200000001</v>
          </cell>
          <cell r="AL23">
            <v>599000</v>
          </cell>
          <cell r="BB23">
            <v>53850</v>
          </cell>
          <cell r="CT23">
            <v>1931712.3</v>
          </cell>
        </row>
        <row r="24">
          <cell r="AJ24">
            <v>2487058.53111111</v>
          </cell>
          <cell r="AK24">
            <v>254483.17700000003</v>
          </cell>
          <cell r="AL24">
            <v>0</v>
          </cell>
          <cell r="BB24">
            <v>18750</v>
          </cell>
          <cell r="CT24">
            <v>849953.41200000001</v>
          </cell>
        </row>
        <row r="25">
          <cell r="AJ25">
            <v>3920994.3555555567</v>
          </cell>
          <cell r="AK25">
            <v>250299.486</v>
          </cell>
          <cell r="AL25">
            <v>0</v>
          </cell>
          <cell r="BB25">
            <v>67200</v>
          </cell>
          <cell r="CT25">
            <v>2086249.284</v>
          </cell>
        </row>
        <row r="26">
          <cell r="AJ26">
            <v>911107.1333333347</v>
          </cell>
          <cell r="AK26">
            <v>50337.462</v>
          </cell>
          <cell r="AL26">
            <v>0</v>
          </cell>
          <cell r="BB26">
            <v>8100</v>
          </cell>
          <cell r="CT26">
            <v>889864.91999999993</v>
          </cell>
        </row>
        <row r="27">
          <cell r="AJ27">
            <v>1322742.8011111114</v>
          </cell>
          <cell r="AK27">
            <v>82574.701000000001</v>
          </cell>
          <cell r="AL27">
            <v>0</v>
          </cell>
          <cell r="BB27">
            <v>11100</v>
          </cell>
          <cell r="CT27">
            <v>849953.41200000001</v>
          </cell>
        </row>
        <row r="28">
          <cell r="AJ28">
            <v>894850.08777777851</v>
          </cell>
          <cell r="AK28">
            <v>43942.690999999999</v>
          </cell>
          <cell r="AL28">
            <v>0</v>
          </cell>
          <cell r="BB28">
            <v>5100</v>
          </cell>
          <cell r="CT28">
            <v>800878.42799999996</v>
          </cell>
        </row>
        <row r="29">
          <cell r="AJ29">
            <v>4642251.3922222219</v>
          </cell>
          <cell r="AK29">
            <v>194094.644</v>
          </cell>
          <cell r="AL29">
            <v>0</v>
          </cell>
          <cell r="BB29">
            <v>63150</v>
          </cell>
          <cell r="CT29">
            <v>2086249.284</v>
          </cell>
        </row>
        <row r="30">
          <cell r="AJ30">
            <v>660555.32222222164</v>
          </cell>
          <cell r="AK30">
            <v>139805.62800000003</v>
          </cell>
          <cell r="AL30">
            <v>0</v>
          </cell>
          <cell r="BB30">
            <v>5850</v>
          </cell>
          <cell r="CT30">
            <v>978851.41199999978</v>
          </cell>
        </row>
        <row r="31">
          <cell r="AJ31">
            <v>1102045.6688888893</v>
          </cell>
          <cell r="AK31">
            <v>119639.621</v>
          </cell>
          <cell r="AL31">
            <v>0</v>
          </cell>
          <cell r="BB31">
            <v>9150</v>
          </cell>
          <cell r="CT31">
            <v>978851.41199999978</v>
          </cell>
        </row>
        <row r="32">
          <cell r="AJ32">
            <v>990154.07222222164</v>
          </cell>
          <cell r="AK32">
            <v>302018.43000000005</v>
          </cell>
          <cell r="AL32">
            <v>0</v>
          </cell>
          <cell r="BB32">
            <v>13350</v>
          </cell>
          <cell r="CT32">
            <v>849953.41200000001</v>
          </cell>
        </row>
        <row r="33">
          <cell r="AJ33">
            <v>1762708.6711111125</v>
          </cell>
          <cell r="AK33">
            <v>63302.840000000004</v>
          </cell>
          <cell r="AL33">
            <v>0</v>
          </cell>
          <cell r="BB33">
            <v>27600</v>
          </cell>
          <cell r="CT33">
            <v>927221.90399999998</v>
          </cell>
        </row>
        <row r="34">
          <cell r="AJ34">
            <v>838978.51777777821</v>
          </cell>
          <cell r="AK34">
            <v>114979.311</v>
          </cell>
          <cell r="AL34">
            <v>846000</v>
          </cell>
          <cell r="BB34">
            <v>8700</v>
          </cell>
          <cell r="CT34">
            <v>800878.42799999996</v>
          </cell>
        </row>
        <row r="35">
          <cell r="AJ35">
            <v>107117.03111111105</v>
          </cell>
          <cell r="AK35">
            <v>35000</v>
          </cell>
          <cell r="AL35">
            <v>0</v>
          </cell>
          <cell r="BB35">
            <v>300</v>
          </cell>
          <cell r="CT35">
            <v>88986.491999999998</v>
          </cell>
        </row>
        <row r="36">
          <cell r="AJ36">
            <v>137683.89555555559</v>
          </cell>
          <cell r="AK36">
            <v>36715.775000000001</v>
          </cell>
          <cell r="AL36">
            <v>0</v>
          </cell>
          <cell r="BB36">
            <v>600</v>
          </cell>
          <cell r="CT36">
            <v>177972.984</v>
          </cell>
        </row>
        <row r="37">
          <cell r="AJ37">
            <v>217870.48222222202</v>
          </cell>
          <cell r="AK37">
            <v>35000</v>
          </cell>
          <cell r="AL37">
            <v>0</v>
          </cell>
          <cell r="BB37">
            <v>900</v>
          </cell>
          <cell r="CT37">
            <v>177972.984</v>
          </cell>
        </row>
        <row r="38">
          <cell r="AJ38">
            <v>123149.45111111109</v>
          </cell>
          <cell r="AK38">
            <v>35143.535000000003</v>
          </cell>
          <cell r="AL38">
            <v>0</v>
          </cell>
          <cell r="BB38">
            <v>600</v>
          </cell>
          <cell r="CT38">
            <v>88986.491999999998</v>
          </cell>
        </row>
        <row r="39">
          <cell r="AJ39">
            <v>141383.89555555559</v>
          </cell>
          <cell r="AK39">
            <v>35000</v>
          </cell>
          <cell r="AL39">
            <v>0</v>
          </cell>
          <cell r="BB39">
            <v>600</v>
          </cell>
          <cell r="CT39">
            <v>154536.984</v>
          </cell>
        </row>
        <row r="40">
          <cell r="AJ40">
            <v>128460.22111111088</v>
          </cell>
          <cell r="AK40">
            <v>35000</v>
          </cell>
          <cell r="AL40">
            <v>0</v>
          </cell>
          <cell r="BB40">
            <v>150</v>
          </cell>
          <cell r="CT40">
            <v>88986.491999999998</v>
          </cell>
        </row>
        <row r="41">
          <cell r="CG41">
            <v>29706877.590000007</v>
          </cell>
          <cell r="CH41">
            <v>1792234.29</v>
          </cell>
          <cell r="CI41">
            <v>1217700</v>
          </cell>
          <cell r="CJ41">
            <v>83160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7"/>
  <sheetViews>
    <sheetView workbookViewId="0">
      <selection activeCell="D1" sqref="D1:I1"/>
    </sheetView>
  </sheetViews>
  <sheetFormatPr defaultColWidth="8.7109375" defaultRowHeight="12.75" x14ac:dyDescent="0.2"/>
  <cols>
    <col min="1" max="1" width="42.85546875" style="3" customWidth="1"/>
    <col min="2" max="2" width="5.85546875" style="3" customWidth="1"/>
    <col min="3" max="3" width="5" style="3" customWidth="1"/>
    <col min="4" max="4" width="6.42578125" style="3" customWidth="1"/>
    <col min="5" max="5" width="12.85546875" style="3" customWidth="1"/>
    <col min="6" max="6" width="6.140625" style="3" customWidth="1"/>
    <col min="7" max="7" width="13" style="3" customWidth="1"/>
    <col min="8" max="9" width="12.5703125" style="3" customWidth="1"/>
    <col min="10" max="10" width="10" style="3" bestFit="1" customWidth="1"/>
    <col min="11" max="16384" width="8.7109375" style="3"/>
  </cols>
  <sheetData>
    <row r="1" spans="1:11" ht="85.5" customHeight="1" x14ac:dyDescent="0.2">
      <c r="A1" s="1"/>
      <c r="B1" s="2"/>
      <c r="C1" s="2"/>
      <c r="D1" s="98" t="s">
        <v>317</v>
      </c>
      <c r="E1" s="98"/>
      <c r="F1" s="98"/>
      <c r="G1" s="98"/>
      <c r="H1" s="98"/>
      <c r="I1" s="98"/>
    </row>
    <row r="2" spans="1:11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</row>
    <row r="3" spans="1:11" x14ac:dyDescent="0.2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11" x14ac:dyDescent="0.2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5" spans="1:11" s="8" customFormat="1" x14ac:dyDescent="0.2">
      <c r="A5" s="4"/>
      <c r="B5" s="5"/>
      <c r="C5" s="6"/>
      <c r="D5" s="5"/>
      <c r="E5" s="5"/>
      <c r="F5" s="5"/>
      <c r="G5" s="7"/>
    </row>
    <row r="6" spans="1:11" ht="38.25" x14ac:dyDescent="0.2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0" t="s">
        <v>10</v>
      </c>
      <c r="I6" s="10" t="s">
        <v>11</v>
      </c>
    </row>
    <row r="7" spans="1:11" x14ac:dyDescent="0.2">
      <c r="A7" s="11">
        <v>1</v>
      </c>
      <c r="B7" s="11" t="s">
        <v>12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2">
        <v>8</v>
      </c>
      <c r="I7" s="13">
        <v>9</v>
      </c>
    </row>
    <row r="8" spans="1:11" x14ac:dyDescent="0.2">
      <c r="A8" s="14" t="s">
        <v>13</v>
      </c>
      <c r="B8" s="15" t="s">
        <v>14</v>
      </c>
      <c r="C8" s="12"/>
      <c r="D8" s="12"/>
      <c r="E8" s="12"/>
      <c r="F8" s="12"/>
      <c r="G8" s="13" t="s">
        <v>15</v>
      </c>
      <c r="H8" s="16"/>
      <c r="I8" s="16"/>
    </row>
    <row r="9" spans="1:11" x14ac:dyDescent="0.2">
      <c r="A9" s="17" t="s">
        <v>16</v>
      </c>
      <c r="B9" s="18" t="s">
        <v>14</v>
      </c>
      <c r="C9" s="19" t="s">
        <v>17</v>
      </c>
      <c r="D9" s="18" t="s">
        <v>18</v>
      </c>
      <c r="E9" s="18"/>
      <c r="F9" s="20"/>
      <c r="G9" s="21">
        <f>SUM(G10,G14,G18,G23,G25,G35,G38)</f>
        <v>39292815.189599998</v>
      </c>
      <c r="H9" s="21">
        <f>SUM(H10,H14,H18,H23,H25,H35,H38)</f>
        <v>39134264.189599998</v>
      </c>
      <c r="I9" s="21">
        <f>SUM(I10,I14,I18,I23,I25,I35,I38)</f>
        <v>39133964.189599998</v>
      </c>
    </row>
    <row r="10" spans="1:11" ht="25.5" x14ac:dyDescent="0.2">
      <c r="A10" s="17" t="s">
        <v>19</v>
      </c>
      <c r="B10" s="18" t="s">
        <v>14</v>
      </c>
      <c r="C10" s="19" t="s">
        <v>17</v>
      </c>
      <c r="D10" s="18" t="s">
        <v>20</v>
      </c>
      <c r="E10" s="22"/>
      <c r="F10" s="23"/>
      <c r="G10" s="21">
        <f>SUM(G11)</f>
        <v>1865604.0876800001</v>
      </c>
      <c r="H10" s="21">
        <f>SUM(H11)</f>
        <v>1865604.0876800001</v>
      </c>
      <c r="I10" s="21">
        <f>SUM(I11)</f>
        <v>1865604.0876800001</v>
      </c>
    </row>
    <row r="11" spans="1:11" x14ac:dyDescent="0.2">
      <c r="A11" s="14" t="s">
        <v>21</v>
      </c>
      <c r="B11" s="18" t="s">
        <v>14</v>
      </c>
      <c r="C11" s="19" t="s">
        <v>17</v>
      </c>
      <c r="D11" s="18" t="s">
        <v>20</v>
      </c>
      <c r="E11" s="18" t="s">
        <v>22</v>
      </c>
      <c r="F11" s="19" t="s">
        <v>23</v>
      </c>
      <c r="G11" s="21">
        <f>SUM(G12:G13)</f>
        <v>1865604.0876800001</v>
      </c>
      <c r="H11" s="21">
        <f>SUM(H12:H13)</f>
        <v>1865604.0876800001</v>
      </c>
      <c r="I11" s="21">
        <f>SUM(I12:I13)</f>
        <v>1865604.0876800001</v>
      </c>
    </row>
    <row r="12" spans="1:11" ht="25.5" x14ac:dyDescent="0.2">
      <c r="A12" s="24" t="s">
        <v>24</v>
      </c>
      <c r="B12" s="22"/>
      <c r="C12" s="25" t="s">
        <v>17</v>
      </c>
      <c r="D12" s="22" t="s">
        <v>20</v>
      </c>
      <c r="E12" s="22" t="s">
        <v>22</v>
      </c>
      <c r="F12" s="23">
        <v>120</v>
      </c>
      <c r="G12" s="26">
        <f>'[1]Аппарат свод'!AK7+1</f>
        <v>1573781.29128</v>
      </c>
      <c r="H12" s="16">
        <f>G12</f>
        <v>1573781.29128</v>
      </c>
      <c r="I12" s="16">
        <f>G12</f>
        <v>1573781.29128</v>
      </c>
    </row>
    <row r="13" spans="1:11" ht="25.5" x14ac:dyDescent="0.2">
      <c r="A13" s="24" t="s">
        <v>25</v>
      </c>
      <c r="B13" s="22"/>
      <c r="C13" s="25" t="s">
        <v>17</v>
      </c>
      <c r="D13" s="22" t="s">
        <v>20</v>
      </c>
      <c r="E13" s="22" t="s">
        <v>22</v>
      </c>
      <c r="F13" s="23">
        <v>240</v>
      </c>
      <c r="G13" s="26">
        <f>'[1]Аппарат свод'!AL7</f>
        <v>291822.79640000011</v>
      </c>
      <c r="H13" s="16">
        <f>G13</f>
        <v>291822.79640000011</v>
      </c>
      <c r="I13" s="16">
        <f>G13</f>
        <v>291822.79640000011</v>
      </c>
      <c r="K13" s="3" t="s">
        <v>15</v>
      </c>
    </row>
    <row r="14" spans="1:11" ht="25.5" x14ac:dyDescent="0.2">
      <c r="A14" s="17" t="s">
        <v>26</v>
      </c>
      <c r="B14" s="18" t="s">
        <v>14</v>
      </c>
      <c r="C14" s="19" t="s">
        <v>17</v>
      </c>
      <c r="D14" s="18" t="s">
        <v>27</v>
      </c>
      <c r="E14" s="22"/>
      <c r="F14" s="23"/>
      <c r="G14" s="21">
        <f>G15</f>
        <v>2065425.3235199999</v>
      </c>
      <c r="H14" s="16">
        <f>G14</f>
        <v>2065425.3235199999</v>
      </c>
      <c r="I14" s="16">
        <f>G14</f>
        <v>2065425.3235199999</v>
      </c>
    </row>
    <row r="15" spans="1:11" x14ac:dyDescent="0.2">
      <c r="A15" s="14" t="s">
        <v>28</v>
      </c>
      <c r="B15" s="18" t="s">
        <v>14</v>
      </c>
      <c r="C15" s="19" t="s">
        <v>17</v>
      </c>
      <c r="D15" s="18" t="s">
        <v>27</v>
      </c>
      <c r="E15" s="18" t="s">
        <v>29</v>
      </c>
      <c r="F15" s="19" t="s">
        <v>23</v>
      </c>
      <c r="G15" s="21">
        <f>SUM(G16:G17)</f>
        <v>2065425.3235199999</v>
      </c>
      <c r="H15" s="21">
        <f>SUM(H16:H17)</f>
        <v>2065425.3235199999</v>
      </c>
      <c r="I15" s="21">
        <f>SUM(I16:I17)</f>
        <v>2065425.3235199999</v>
      </c>
    </row>
    <row r="16" spans="1:11" ht="25.5" x14ac:dyDescent="0.2">
      <c r="A16" s="24" t="s">
        <v>24</v>
      </c>
      <c r="B16" s="22"/>
      <c r="C16" s="25" t="s">
        <v>17</v>
      </c>
      <c r="D16" s="22" t="s">
        <v>27</v>
      </c>
      <c r="E16" s="22" t="s">
        <v>29</v>
      </c>
      <c r="F16" s="23">
        <v>120</v>
      </c>
      <c r="G16" s="26">
        <f>'[1]Аппарат свод'!AK9+1</f>
        <v>2005254.4064199999</v>
      </c>
      <c r="H16" s="16">
        <f>G16</f>
        <v>2005254.4064199999</v>
      </c>
      <c r="I16" s="16">
        <f>H16</f>
        <v>2005254.4064199999</v>
      </c>
    </row>
    <row r="17" spans="1:13" ht="25.5" x14ac:dyDescent="0.2">
      <c r="A17" s="24" t="s">
        <v>25</v>
      </c>
      <c r="B17" s="22"/>
      <c r="C17" s="25" t="s">
        <v>17</v>
      </c>
      <c r="D17" s="22" t="s">
        <v>27</v>
      </c>
      <c r="E17" s="22" t="s">
        <v>29</v>
      </c>
      <c r="F17" s="23">
        <v>240</v>
      </c>
      <c r="G17" s="26">
        <f>'[1]Аппарат свод'!AL9</f>
        <v>60170.917099999962</v>
      </c>
      <c r="H17" s="16">
        <f>G17</f>
        <v>60170.917099999962</v>
      </c>
      <c r="I17" s="16">
        <f>H17</f>
        <v>60170.917099999962</v>
      </c>
    </row>
    <row r="18" spans="1:13" ht="25.5" x14ac:dyDescent="0.2">
      <c r="A18" s="17" t="s">
        <v>30</v>
      </c>
      <c r="B18" s="22" t="s">
        <v>14</v>
      </c>
      <c r="C18" s="19" t="s">
        <v>17</v>
      </c>
      <c r="D18" s="18" t="s">
        <v>31</v>
      </c>
      <c r="E18" s="18"/>
      <c r="F18" s="20"/>
      <c r="G18" s="21">
        <f>G19</f>
        <v>13166106.713439999</v>
      </c>
      <c r="H18" s="21">
        <f>H19</f>
        <v>13166106.713439999</v>
      </c>
      <c r="I18" s="21">
        <f>I19</f>
        <v>13166106.713439999</v>
      </c>
      <c r="K18" s="3" t="s">
        <v>15</v>
      </c>
    </row>
    <row r="19" spans="1:13" x14ac:dyDescent="0.2">
      <c r="A19" s="14" t="s">
        <v>32</v>
      </c>
      <c r="B19" s="18" t="s">
        <v>14</v>
      </c>
      <c r="C19" s="19" t="s">
        <v>17</v>
      </c>
      <c r="D19" s="18" t="s">
        <v>31</v>
      </c>
      <c r="E19" s="18" t="s">
        <v>33</v>
      </c>
      <c r="F19" s="19" t="s">
        <v>23</v>
      </c>
      <c r="G19" s="21">
        <f>SUM(G20:G22)</f>
        <v>13166106.713439999</v>
      </c>
      <c r="H19" s="21">
        <f>SUM(H20:H22)</f>
        <v>13166106.713439999</v>
      </c>
      <c r="I19" s="21">
        <f>SUM(I20:I22)</f>
        <v>13166106.713439999</v>
      </c>
    </row>
    <row r="20" spans="1:13" ht="25.5" x14ac:dyDescent="0.2">
      <c r="A20" s="24" t="s">
        <v>24</v>
      </c>
      <c r="B20" s="22"/>
      <c r="C20" s="25" t="s">
        <v>17</v>
      </c>
      <c r="D20" s="22" t="s">
        <v>31</v>
      </c>
      <c r="E20" s="22" t="s">
        <v>33</v>
      </c>
      <c r="F20" s="23">
        <v>120</v>
      </c>
      <c r="G20" s="26">
        <f>'[1]Аппарат свод'!AK22-1</f>
        <v>9459980.1262400001</v>
      </c>
      <c r="H20" s="16">
        <f t="shared" ref="H20:I22" si="0">G20</f>
        <v>9459980.1262400001</v>
      </c>
      <c r="I20" s="16">
        <f t="shared" si="0"/>
        <v>9459980.1262400001</v>
      </c>
    </row>
    <row r="21" spans="1:13" ht="25.5" x14ac:dyDescent="0.2">
      <c r="A21" s="24" t="s">
        <v>25</v>
      </c>
      <c r="B21" s="22"/>
      <c r="C21" s="25" t="s">
        <v>17</v>
      </c>
      <c r="D21" s="22" t="s">
        <v>31</v>
      </c>
      <c r="E21" s="22" t="s">
        <v>33</v>
      </c>
      <c r="F21" s="23">
        <v>240</v>
      </c>
      <c r="G21" s="26">
        <f>'[1]Аппарат свод'!AL22</f>
        <v>3308813.3511999995</v>
      </c>
      <c r="H21" s="16">
        <f t="shared" si="0"/>
        <v>3308813.3511999995</v>
      </c>
      <c r="I21" s="16">
        <f t="shared" si="0"/>
        <v>3308813.3511999995</v>
      </c>
    </row>
    <row r="22" spans="1:13" x14ac:dyDescent="0.2">
      <c r="A22" s="24" t="s">
        <v>34</v>
      </c>
      <c r="B22" s="22"/>
      <c r="C22" s="25" t="s">
        <v>17</v>
      </c>
      <c r="D22" s="22" t="s">
        <v>31</v>
      </c>
      <c r="E22" s="22" t="s">
        <v>33</v>
      </c>
      <c r="F22" s="23">
        <v>850</v>
      </c>
      <c r="G22" s="26">
        <f>'[1]Аппарат свод'!AM22</f>
        <v>397313.23600000003</v>
      </c>
      <c r="H22" s="16">
        <f t="shared" si="0"/>
        <v>397313.23600000003</v>
      </c>
      <c r="I22" s="16">
        <f t="shared" si="0"/>
        <v>397313.23600000003</v>
      </c>
    </row>
    <row r="23" spans="1:13" ht="25.5" x14ac:dyDescent="0.2">
      <c r="A23" s="17" t="s">
        <v>35</v>
      </c>
      <c r="B23" s="18" t="s">
        <v>14</v>
      </c>
      <c r="C23" s="19" t="s">
        <v>17</v>
      </c>
      <c r="D23" s="18" t="s">
        <v>36</v>
      </c>
      <c r="E23" s="18" t="s">
        <v>37</v>
      </c>
      <c r="F23" s="25" t="s">
        <v>23</v>
      </c>
      <c r="G23" s="21">
        <f>G24</f>
        <v>61200</v>
      </c>
      <c r="H23" s="21">
        <f>H24</f>
        <v>2650</v>
      </c>
      <c r="I23" s="21">
        <f>I24</f>
        <v>2350</v>
      </c>
    </row>
    <row r="24" spans="1:13" ht="25.5" x14ac:dyDescent="0.2">
      <c r="A24" s="24" t="s">
        <v>25</v>
      </c>
      <c r="B24" s="22"/>
      <c r="C24" s="25" t="s">
        <v>17</v>
      </c>
      <c r="D24" s="22" t="s">
        <v>36</v>
      </c>
      <c r="E24" s="22" t="s">
        <v>37</v>
      </c>
      <c r="F24" s="23">
        <v>240</v>
      </c>
      <c r="G24" s="26">
        <f>'[1]Аппарат свод'!AR15</f>
        <v>61200</v>
      </c>
      <c r="H24" s="16">
        <f>'[1]Доходы №1'!F56*1000</f>
        <v>2650</v>
      </c>
      <c r="I24" s="16">
        <f>'[1]Доходы №1'!G56*1000</f>
        <v>2350</v>
      </c>
      <c r="M24" s="3" t="s">
        <v>15</v>
      </c>
    </row>
    <row r="25" spans="1:13" ht="25.5" x14ac:dyDescent="0.2">
      <c r="A25" s="17" t="s">
        <v>38</v>
      </c>
      <c r="B25" s="22"/>
      <c r="C25" s="19" t="s">
        <v>17</v>
      </c>
      <c r="D25" s="18" t="s">
        <v>39</v>
      </c>
      <c r="E25" s="18"/>
      <c r="F25" s="20"/>
      <c r="G25" s="21">
        <f>SUM(G27,G31)</f>
        <v>7548269.7257599998</v>
      </c>
      <c r="H25" s="21">
        <f>SUM(H27,H31)</f>
        <v>7538269.7257599998</v>
      </c>
      <c r="I25" s="21">
        <f>SUM(I27,I31)</f>
        <v>7538269.7257599998</v>
      </c>
    </row>
    <row r="26" spans="1:13" ht="25.5" x14ac:dyDescent="0.2">
      <c r="A26" s="14" t="s">
        <v>40</v>
      </c>
      <c r="B26" s="18" t="s">
        <v>41</v>
      </c>
      <c r="C26" s="19"/>
      <c r="D26" s="18"/>
      <c r="E26" s="18"/>
      <c r="F26" s="20"/>
      <c r="G26" s="21"/>
      <c r="H26" s="16"/>
      <c r="I26" s="16"/>
    </row>
    <row r="27" spans="1:13" x14ac:dyDescent="0.2">
      <c r="A27" s="14" t="s">
        <v>42</v>
      </c>
      <c r="B27" s="18" t="s">
        <v>41</v>
      </c>
      <c r="C27" s="19" t="s">
        <v>17</v>
      </c>
      <c r="D27" s="18" t="s">
        <v>39</v>
      </c>
      <c r="E27" s="18" t="s">
        <v>33</v>
      </c>
      <c r="F27" s="19" t="s">
        <v>23</v>
      </c>
      <c r="G27" s="21">
        <f>SUM(G28:G30)</f>
        <v>5673138.6192000005</v>
      </c>
      <c r="H27" s="21">
        <f>SUM(H28:H30)</f>
        <v>5673138.6192000005</v>
      </c>
      <c r="I27" s="21">
        <f>SUM(I28:I30)</f>
        <v>5673138.6192000005</v>
      </c>
    </row>
    <row r="28" spans="1:13" ht="25.5" x14ac:dyDescent="0.2">
      <c r="A28" s="24" t="s">
        <v>24</v>
      </c>
      <c r="B28" s="22"/>
      <c r="C28" s="25" t="s">
        <v>17</v>
      </c>
      <c r="D28" s="22" t="s">
        <v>39</v>
      </c>
      <c r="E28" s="22" t="s">
        <v>33</v>
      </c>
      <c r="F28" s="23">
        <v>120</v>
      </c>
      <c r="G28" s="26">
        <f>'[1]ФУ АМР'!AC7-45001</f>
        <v>5129128.5657000002</v>
      </c>
      <c r="H28" s="16">
        <f t="shared" ref="H28:I30" si="1">G28</f>
        <v>5129128.5657000002</v>
      </c>
      <c r="I28" s="16">
        <f t="shared" si="1"/>
        <v>5129128.5657000002</v>
      </c>
    </row>
    <row r="29" spans="1:13" ht="25.5" x14ac:dyDescent="0.2">
      <c r="A29" s="24" t="s">
        <v>25</v>
      </c>
      <c r="B29" s="22"/>
      <c r="C29" s="25" t="s">
        <v>17</v>
      </c>
      <c r="D29" s="22" t="s">
        <v>39</v>
      </c>
      <c r="E29" s="22" t="s">
        <v>33</v>
      </c>
      <c r="F29" s="23">
        <v>240</v>
      </c>
      <c r="G29" s="26">
        <f>'[1]ФУ АМР'!AD7</f>
        <v>544010.05350000039</v>
      </c>
      <c r="H29" s="16">
        <f t="shared" si="1"/>
        <v>544010.05350000039</v>
      </c>
      <c r="I29" s="16">
        <f t="shared" si="1"/>
        <v>544010.05350000039</v>
      </c>
    </row>
    <row r="30" spans="1:13" x14ac:dyDescent="0.2">
      <c r="A30" s="24" t="s">
        <v>34</v>
      </c>
      <c r="B30" s="22"/>
      <c r="C30" s="25" t="s">
        <v>17</v>
      </c>
      <c r="D30" s="22" t="s">
        <v>39</v>
      </c>
      <c r="E30" s="22" t="s">
        <v>33</v>
      </c>
      <c r="F30" s="23">
        <v>850</v>
      </c>
      <c r="G30" s="26">
        <f>'[1]ФУ АМР'!AE7</f>
        <v>0</v>
      </c>
      <c r="H30" s="16">
        <f t="shared" si="1"/>
        <v>0</v>
      </c>
      <c r="I30" s="16">
        <f t="shared" si="1"/>
        <v>0</v>
      </c>
    </row>
    <row r="31" spans="1:13" ht="25.5" x14ac:dyDescent="0.2">
      <c r="A31" s="17" t="s">
        <v>43</v>
      </c>
      <c r="B31" s="18" t="s">
        <v>14</v>
      </c>
      <c r="C31" s="19" t="s">
        <v>17</v>
      </c>
      <c r="D31" s="18" t="s">
        <v>39</v>
      </c>
      <c r="E31" s="18" t="s">
        <v>44</v>
      </c>
      <c r="F31" s="19" t="s">
        <v>23</v>
      </c>
      <c r="G31" s="21">
        <f>SUM(G32:G34)</f>
        <v>1875131.1065599998</v>
      </c>
      <c r="H31" s="21">
        <f>SUM(H32:H33)</f>
        <v>1865131.1065599998</v>
      </c>
      <c r="I31" s="21">
        <f>SUM(I32:I33)</f>
        <v>1865131.1065599998</v>
      </c>
    </row>
    <row r="32" spans="1:13" ht="25.5" x14ac:dyDescent="0.2">
      <c r="A32" s="24" t="s">
        <v>24</v>
      </c>
      <c r="B32" s="22"/>
      <c r="C32" s="25" t="s">
        <v>17</v>
      </c>
      <c r="D32" s="22" t="s">
        <v>39</v>
      </c>
      <c r="E32" s="22" t="s">
        <v>44</v>
      </c>
      <c r="F32" s="23">
        <v>120</v>
      </c>
      <c r="G32" s="26">
        <f>'[1]Аппарат свод'!AK12</f>
        <v>1694462.0127599998</v>
      </c>
      <c r="H32" s="16">
        <f>G32</f>
        <v>1694462.0127599998</v>
      </c>
      <c r="I32" s="16">
        <f>H32</f>
        <v>1694462.0127599998</v>
      </c>
    </row>
    <row r="33" spans="1:10" ht="25.5" x14ac:dyDescent="0.2">
      <c r="A33" s="24" t="s">
        <v>25</v>
      </c>
      <c r="B33" s="22"/>
      <c r="C33" s="25" t="s">
        <v>17</v>
      </c>
      <c r="D33" s="22" t="s">
        <v>39</v>
      </c>
      <c r="E33" s="22" t="s">
        <v>44</v>
      </c>
      <c r="F33" s="23">
        <v>240</v>
      </c>
      <c r="G33" s="26">
        <f>'[1]Аппарат свод'!AL12</f>
        <v>170669.09379999992</v>
      </c>
      <c r="H33" s="16">
        <f>G33</f>
        <v>170669.09379999992</v>
      </c>
      <c r="I33" s="16">
        <f>H33</f>
        <v>170669.09379999992</v>
      </c>
    </row>
    <row r="34" spans="1:10" x14ac:dyDescent="0.2">
      <c r="A34" s="24"/>
      <c r="B34" s="22"/>
      <c r="C34" s="25" t="s">
        <v>17</v>
      </c>
      <c r="D34" s="22" t="s">
        <v>39</v>
      </c>
      <c r="E34" s="22" t="s">
        <v>44</v>
      </c>
      <c r="F34" s="23">
        <v>850</v>
      </c>
      <c r="G34" s="26">
        <f>'[1]Аппарат свод'!AM12</f>
        <v>10000</v>
      </c>
      <c r="H34" s="16"/>
      <c r="I34" s="16"/>
    </row>
    <row r="35" spans="1:10" x14ac:dyDescent="0.2">
      <c r="A35" s="17" t="s">
        <v>45</v>
      </c>
      <c r="B35" s="22" t="s">
        <v>14</v>
      </c>
      <c r="C35" s="19" t="s">
        <v>17</v>
      </c>
      <c r="D35" s="18" t="s">
        <v>46</v>
      </c>
      <c r="E35" s="18" t="s">
        <v>47</v>
      </c>
      <c r="F35" s="19" t="s">
        <v>23</v>
      </c>
      <c r="G35" s="21">
        <f>G36</f>
        <v>2500000</v>
      </c>
      <c r="H35" s="21">
        <f>H36</f>
        <v>2500000</v>
      </c>
      <c r="I35" s="21">
        <f>I36</f>
        <v>2500000</v>
      </c>
    </row>
    <row r="36" spans="1:10" x14ac:dyDescent="0.2">
      <c r="A36" s="24" t="s">
        <v>48</v>
      </c>
      <c r="B36" s="22"/>
      <c r="C36" s="25" t="s">
        <v>17</v>
      </c>
      <c r="D36" s="22" t="s">
        <v>46</v>
      </c>
      <c r="E36" s="22" t="s">
        <v>47</v>
      </c>
      <c r="F36" s="23"/>
      <c r="G36" s="26">
        <f>G37</f>
        <v>2500000</v>
      </c>
      <c r="H36" s="16">
        <f>G36</f>
        <v>2500000</v>
      </c>
      <c r="I36" s="16">
        <f>H36</f>
        <v>2500000</v>
      </c>
    </row>
    <row r="37" spans="1:10" x14ac:dyDescent="0.2">
      <c r="A37" s="24" t="s">
        <v>49</v>
      </c>
      <c r="B37" s="22"/>
      <c r="C37" s="25" t="s">
        <v>17</v>
      </c>
      <c r="D37" s="22" t="s">
        <v>46</v>
      </c>
      <c r="E37" s="22" t="s">
        <v>47</v>
      </c>
      <c r="F37" s="23">
        <v>870</v>
      </c>
      <c r="G37" s="26">
        <f>'[1]Аппарат свод'!AO18</f>
        <v>2500000</v>
      </c>
      <c r="H37" s="16">
        <f>G37</f>
        <v>2500000</v>
      </c>
      <c r="I37" s="16">
        <f>H37</f>
        <v>2500000</v>
      </c>
    </row>
    <row r="38" spans="1:10" x14ac:dyDescent="0.2">
      <c r="A38" s="17" t="s">
        <v>50</v>
      </c>
      <c r="B38" s="18" t="s">
        <v>14</v>
      </c>
      <c r="C38" s="19" t="s">
        <v>17</v>
      </c>
      <c r="D38" s="18" t="s">
        <v>51</v>
      </c>
      <c r="E38" s="22"/>
      <c r="F38" s="23"/>
      <c r="G38" s="21">
        <f>SUM(G39,G42,G47,G50,G53,G56,G62)+90001</f>
        <v>12086209.339199999</v>
      </c>
      <c r="H38" s="21">
        <f>SUM(H39,H42,H47,H50,H53,H56,H62)</f>
        <v>11996208.339199999</v>
      </c>
      <c r="I38" s="21">
        <f>SUM(I39,I42,I47,I50,I53,I56,I62)</f>
        <v>11996208.339199999</v>
      </c>
    </row>
    <row r="39" spans="1:10" x14ac:dyDescent="0.2">
      <c r="A39" s="17" t="s">
        <v>52</v>
      </c>
      <c r="B39" s="18" t="s">
        <v>14</v>
      </c>
      <c r="C39" s="19" t="s">
        <v>17</v>
      </c>
      <c r="D39" s="18" t="s">
        <v>51</v>
      </c>
      <c r="E39" s="22" t="s">
        <v>53</v>
      </c>
      <c r="F39" s="23"/>
      <c r="G39" s="21">
        <f>G40</f>
        <v>0</v>
      </c>
      <c r="H39" s="21">
        <f>H40</f>
        <v>0</v>
      </c>
      <c r="I39" s="21">
        <f>I40</f>
        <v>0</v>
      </c>
    </row>
    <row r="40" spans="1:10" ht="25.5" x14ac:dyDescent="0.2">
      <c r="A40" s="24" t="s">
        <v>25</v>
      </c>
      <c r="B40" s="18"/>
      <c r="C40" s="19" t="s">
        <v>17</v>
      </c>
      <c r="D40" s="18" t="s">
        <v>51</v>
      </c>
      <c r="E40" s="22" t="s">
        <v>53</v>
      </c>
      <c r="F40" s="23">
        <v>240</v>
      </c>
      <c r="G40" s="21"/>
      <c r="H40" s="21"/>
      <c r="I40" s="21"/>
    </row>
    <row r="41" spans="1:10" x14ac:dyDescent="0.2">
      <c r="A41" s="17"/>
      <c r="B41" s="18"/>
      <c r="C41" s="19"/>
      <c r="D41" s="18"/>
      <c r="E41" s="22"/>
      <c r="F41" s="23"/>
      <c r="G41" s="21"/>
      <c r="H41" s="21"/>
      <c r="I41" s="21"/>
    </row>
    <row r="42" spans="1:10" x14ac:dyDescent="0.2">
      <c r="A42" s="17" t="s">
        <v>54</v>
      </c>
      <c r="B42" s="18" t="s">
        <v>14</v>
      </c>
      <c r="C42" s="19" t="s">
        <v>17</v>
      </c>
      <c r="D42" s="18" t="s">
        <v>51</v>
      </c>
      <c r="E42" s="18" t="s">
        <v>55</v>
      </c>
      <c r="F42" s="19" t="s">
        <v>23</v>
      </c>
      <c r="G42" s="21">
        <f>SUM(G43:G46)</f>
        <v>1754874.7443200001</v>
      </c>
      <c r="H42" s="21">
        <f>SUM(H43:H46)</f>
        <v>1754874.7443200001</v>
      </c>
      <c r="I42" s="21">
        <f>SUM(I43:I46)</f>
        <v>1754874.7443200001</v>
      </c>
    </row>
    <row r="43" spans="1:10" ht="25.5" x14ac:dyDescent="0.2">
      <c r="A43" s="24" t="s">
        <v>56</v>
      </c>
      <c r="B43" s="18"/>
      <c r="C43" s="19" t="s">
        <v>17</v>
      </c>
      <c r="D43" s="18" t="s">
        <v>51</v>
      </c>
      <c r="E43" s="22" t="s">
        <v>33</v>
      </c>
      <c r="F43" s="25" t="s">
        <v>57</v>
      </c>
      <c r="G43" s="21">
        <f>'[1]Аппарат свод'!AK26</f>
        <v>1265233.9307200001</v>
      </c>
      <c r="H43" s="26">
        <f>G43</f>
        <v>1265233.9307200001</v>
      </c>
      <c r="I43" s="16">
        <f>G43</f>
        <v>1265233.9307200001</v>
      </c>
    </row>
    <row r="44" spans="1:10" ht="25.5" x14ac:dyDescent="0.2">
      <c r="A44" s="24" t="s">
        <v>25</v>
      </c>
      <c r="B44" s="22"/>
      <c r="C44" s="25" t="s">
        <v>17</v>
      </c>
      <c r="D44" s="22" t="s">
        <v>51</v>
      </c>
      <c r="E44" s="22" t="s">
        <v>33</v>
      </c>
      <c r="F44" s="23">
        <v>240</v>
      </c>
      <c r="G44" s="21">
        <f>'[1]Аппарат свод'!AL26</f>
        <v>489640.81359999999</v>
      </c>
      <c r="H44" s="26">
        <f>G44</f>
        <v>489640.81359999999</v>
      </c>
      <c r="I44" s="16">
        <f>G44</f>
        <v>489640.81359999999</v>
      </c>
    </row>
    <row r="45" spans="1:10" x14ac:dyDescent="0.2">
      <c r="A45" s="24" t="s">
        <v>34</v>
      </c>
      <c r="B45" s="22"/>
      <c r="C45" s="25" t="s">
        <v>17</v>
      </c>
      <c r="D45" s="22" t="s">
        <v>51</v>
      </c>
      <c r="E45" s="22" t="s">
        <v>33</v>
      </c>
      <c r="F45" s="23">
        <v>850</v>
      </c>
      <c r="G45" s="21">
        <f>'[1]Аппарат свод'!AM26</f>
        <v>0</v>
      </c>
      <c r="H45" s="26">
        <f>G45</f>
        <v>0</v>
      </c>
      <c r="I45" s="16">
        <f>G45</f>
        <v>0</v>
      </c>
    </row>
    <row r="46" spans="1:10" ht="25.5" x14ac:dyDescent="0.2">
      <c r="A46" s="24" t="s">
        <v>58</v>
      </c>
      <c r="B46" s="22"/>
      <c r="C46" s="25" t="s">
        <v>17</v>
      </c>
      <c r="D46" s="22" t="s">
        <v>51</v>
      </c>
      <c r="E46" s="22" t="s">
        <v>33</v>
      </c>
      <c r="F46" s="23">
        <v>400</v>
      </c>
      <c r="G46" s="21">
        <f>'[1]Аппарат свод'!AN26</f>
        <v>0</v>
      </c>
      <c r="H46" s="21">
        <f>G46</f>
        <v>0</v>
      </c>
      <c r="I46" s="16">
        <f>G46</f>
        <v>0</v>
      </c>
    </row>
    <row r="47" spans="1:10" ht="38.25" x14ac:dyDescent="0.2">
      <c r="A47" s="17" t="s">
        <v>59</v>
      </c>
      <c r="B47" s="18" t="s">
        <v>14</v>
      </c>
      <c r="C47" s="19" t="s">
        <v>17</v>
      </c>
      <c r="D47" s="18" t="s">
        <v>51</v>
      </c>
      <c r="E47" s="18" t="s">
        <v>60</v>
      </c>
      <c r="F47" s="19" t="s">
        <v>23</v>
      </c>
      <c r="G47" s="21">
        <f>SUM(G48:G49)</f>
        <v>371999.75008000003</v>
      </c>
      <c r="H47" s="21">
        <f t="shared" ref="H47:H52" si="2">G47</f>
        <v>371999.75008000003</v>
      </c>
      <c r="I47" s="21">
        <f>G47</f>
        <v>371999.75008000003</v>
      </c>
    </row>
    <row r="48" spans="1:10" ht="25.5" x14ac:dyDescent="0.2">
      <c r="A48" s="24" t="s">
        <v>24</v>
      </c>
      <c r="B48" s="22"/>
      <c r="C48" s="25" t="s">
        <v>17</v>
      </c>
      <c r="D48" s="22" t="s">
        <v>51</v>
      </c>
      <c r="E48" s="22" t="s">
        <v>60</v>
      </c>
      <c r="F48" s="23">
        <v>120</v>
      </c>
      <c r="G48" s="26">
        <f>'[1]Аппарат свод'!AK19</f>
        <v>323379.63918</v>
      </c>
      <c r="H48" s="16">
        <f t="shared" si="2"/>
        <v>323379.63918</v>
      </c>
      <c r="I48" s="16">
        <f>H48</f>
        <v>323379.63918</v>
      </c>
      <c r="J48" s="3" t="s">
        <v>15</v>
      </c>
    </row>
    <row r="49" spans="1:12" ht="25.5" x14ac:dyDescent="0.2">
      <c r="A49" s="24" t="s">
        <v>25</v>
      </c>
      <c r="B49" s="22"/>
      <c r="C49" s="25" t="s">
        <v>17</v>
      </c>
      <c r="D49" s="22" t="s">
        <v>51</v>
      </c>
      <c r="E49" s="22" t="s">
        <v>60</v>
      </c>
      <c r="F49" s="23">
        <v>240</v>
      </c>
      <c r="G49" s="26">
        <f>'[1]Аппарат свод'!AL19</f>
        <v>48620.110900000029</v>
      </c>
      <c r="H49" s="16">
        <f t="shared" si="2"/>
        <v>48620.110900000029</v>
      </c>
      <c r="I49" s="16">
        <f>H49</f>
        <v>48620.110900000029</v>
      </c>
    </row>
    <row r="50" spans="1:12" ht="38.25" x14ac:dyDescent="0.2">
      <c r="A50" s="17" t="s">
        <v>61</v>
      </c>
      <c r="B50" s="18" t="s">
        <v>14</v>
      </c>
      <c r="C50" s="19" t="s">
        <v>17</v>
      </c>
      <c r="D50" s="18" t="s">
        <v>51</v>
      </c>
      <c r="E50" s="18" t="s">
        <v>62</v>
      </c>
      <c r="F50" s="19" t="s">
        <v>23</v>
      </c>
      <c r="G50" s="21">
        <f>SUM(G51:G52)</f>
        <v>743999.81279999996</v>
      </c>
      <c r="H50" s="21">
        <f t="shared" si="2"/>
        <v>743999.81279999996</v>
      </c>
      <c r="I50" s="21">
        <f>G50</f>
        <v>743999.81279999996</v>
      </c>
    </row>
    <row r="51" spans="1:12" ht="25.5" x14ac:dyDescent="0.2">
      <c r="A51" s="24" t="s">
        <v>24</v>
      </c>
      <c r="B51" s="22"/>
      <c r="C51" s="25" t="s">
        <v>17</v>
      </c>
      <c r="D51" s="22" t="s">
        <v>51</v>
      </c>
      <c r="E51" s="22" t="s">
        <v>62</v>
      </c>
      <c r="F51" s="23">
        <v>120</v>
      </c>
      <c r="G51" s="26">
        <f>'[1]Аппарат свод'!AK20</f>
        <v>597317.00630000001</v>
      </c>
      <c r="H51" s="16">
        <f t="shared" si="2"/>
        <v>597317.00630000001</v>
      </c>
      <c r="I51" s="16">
        <f>H51</f>
        <v>597317.00630000001</v>
      </c>
    </row>
    <row r="52" spans="1:12" ht="25.5" x14ac:dyDescent="0.2">
      <c r="A52" s="24" t="s">
        <v>25</v>
      </c>
      <c r="B52" s="22"/>
      <c r="C52" s="25" t="s">
        <v>17</v>
      </c>
      <c r="D52" s="22" t="s">
        <v>51</v>
      </c>
      <c r="E52" s="22" t="s">
        <v>62</v>
      </c>
      <c r="F52" s="23">
        <v>240</v>
      </c>
      <c r="G52" s="26">
        <f>'[1]Аппарат свод'!AL20</f>
        <v>146682.80649999995</v>
      </c>
      <c r="H52" s="16">
        <f t="shared" si="2"/>
        <v>146682.80649999995</v>
      </c>
      <c r="I52" s="16">
        <f>H52</f>
        <v>146682.80649999995</v>
      </c>
    </row>
    <row r="53" spans="1:12" ht="38.25" x14ac:dyDescent="0.2">
      <c r="A53" s="17" t="s">
        <v>63</v>
      </c>
      <c r="B53" s="18" t="s">
        <v>14</v>
      </c>
      <c r="C53" s="19" t="s">
        <v>17</v>
      </c>
      <c r="D53" s="18" t="s">
        <v>51</v>
      </c>
      <c r="E53" s="18" t="s">
        <v>64</v>
      </c>
      <c r="F53" s="19" t="s">
        <v>23</v>
      </c>
      <c r="G53" s="21">
        <f>SUM(G54:G55)</f>
        <v>58400</v>
      </c>
      <c r="H53" s="21">
        <f>SUM(H54:H55)</f>
        <v>58400</v>
      </c>
      <c r="I53" s="21">
        <f>SUM(I54:I55)</f>
        <v>58400</v>
      </c>
    </row>
    <row r="54" spans="1:12" ht="25.5" x14ac:dyDescent="0.2">
      <c r="A54" s="24" t="s">
        <v>24</v>
      </c>
      <c r="B54" s="22"/>
      <c r="C54" s="25" t="s">
        <v>17</v>
      </c>
      <c r="D54" s="22" t="s">
        <v>51</v>
      </c>
      <c r="E54" s="22" t="s">
        <v>64</v>
      </c>
      <c r="F54" s="23">
        <v>120</v>
      </c>
      <c r="G54" s="26">
        <f>'[1]Аппарат свод'!AK17</f>
        <v>0</v>
      </c>
      <c r="H54" s="16"/>
      <c r="I54" s="16"/>
    </row>
    <row r="55" spans="1:12" ht="25.5" x14ac:dyDescent="0.2">
      <c r="A55" s="24" t="s">
        <v>25</v>
      </c>
      <c r="B55" s="22"/>
      <c r="C55" s="25" t="s">
        <v>17</v>
      </c>
      <c r="D55" s="22" t="s">
        <v>51</v>
      </c>
      <c r="E55" s="22" t="s">
        <v>64</v>
      </c>
      <c r="F55" s="23">
        <v>240</v>
      </c>
      <c r="G55" s="26">
        <f>'[1]Аппарат свод'!AL17</f>
        <v>58400</v>
      </c>
      <c r="H55" s="16">
        <f>G55</f>
        <v>58400</v>
      </c>
      <c r="I55" s="16">
        <f>H55</f>
        <v>58400</v>
      </c>
    </row>
    <row r="56" spans="1:12" x14ac:dyDescent="0.2">
      <c r="A56" s="17" t="s">
        <v>65</v>
      </c>
      <c r="B56" s="22"/>
      <c r="C56" s="19" t="s">
        <v>17</v>
      </c>
      <c r="D56" s="18" t="s">
        <v>51</v>
      </c>
      <c r="E56" s="18"/>
      <c r="F56" s="19" t="s">
        <v>23</v>
      </c>
      <c r="G56" s="21">
        <f>SUM(G57:G60)</f>
        <v>6387554.0319999997</v>
      </c>
      <c r="H56" s="21">
        <f>SUM(H57:H60)</f>
        <v>6387554.0319999997</v>
      </c>
      <c r="I56" s="21">
        <f>SUM(I57:I60)</f>
        <v>6387554.0319999997</v>
      </c>
    </row>
    <row r="57" spans="1:12" ht="25.5" x14ac:dyDescent="0.2">
      <c r="A57" s="24" t="s">
        <v>24</v>
      </c>
      <c r="B57" s="18"/>
      <c r="C57" s="19" t="s">
        <v>17</v>
      </c>
      <c r="D57" s="18" t="s">
        <v>51</v>
      </c>
      <c r="E57" s="22" t="s">
        <v>66</v>
      </c>
      <c r="F57" s="25" t="s">
        <v>57</v>
      </c>
      <c r="G57" s="21">
        <f>'[1]МКУ Хозслужба'!Z7</f>
        <v>4876660.53</v>
      </c>
      <c r="H57" s="21">
        <f>G57</f>
        <v>4876660.53</v>
      </c>
      <c r="I57" s="21">
        <f>G57</f>
        <v>4876660.53</v>
      </c>
    </row>
    <row r="58" spans="1:12" ht="25.5" x14ac:dyDescent="0.2">
      <c r="A58" s="24" t="s">
        <v>25</v>
      </c>
      <c r="B58" s="22"/>
      <c r="C58" s="25" t="s">
        <v>17</v>
      </c>
      <c r="D58" s="22" t="s">
        <v>51</v>
      </c>
      <c r="E58" s="22" t="s">
        <v>66</v>
      </c>
      <c r="F58" s="23">
        <v>240</v>
      </c>
      <c r="G58" s="21">
        <f>'[1]МКУ Хозслужба'!AA7</f>
        <v>1510893.5019999994</v>
      </c>
      <c r="H58" s="21">
        <f>G58</f>
        <v>1510893.5019999994</v>
      </c>
      <c r="I58" s="21">
        <f>G58</f>
        <v>1510893.5019999994</v>
      </c>
      <c r="L58" s="3" t="s">
        <v>15</v>
      </c>
    </row>
    <row r="59" spans="1:12" x14ac:dyDescent="0.2">
      <c r="A59" s="24" t="s">
        <v>34</v>
      </c>
      <c r="B59" s="22"/>
      <c r="C59" s="25" t="s">
        <v>17</v>
      </c>
      <c r="D59" s="22" t="s">
        <v>51</v>
      </c>
      <c r="E59" s="22" t="s">
        <v>66</v>
      </c>
      <c r="F59" s="23">
        <v>850</v>
      </c>
      <c r="G59" s="21">
        <f>'[1]МКУ Хозслужба'!AB7</f>
        <v>0</v>
      </c>
      <c r="H59" s="21">
        <f>G59</f>
        <v>0</v>
      </c>
      <c r="I59" s="21">
        <f>G59</f>
        <v>0</v>
      </c>
    </row>
    <row r="60" spans="1:12" ht="25.5" x14ac:dyDescent="0.2">
      <c r="A60" s="24" t="s">
        <v>58</v>
      </c>
      <c r="B60" s="22"/>
      <c r="C60" s="25" t="s">
        <v>17</v>
      </c>
      <c r="D60" s="22" t="s">
        <v>51</v>
      </c>
      <c r="E60" s="22" t="s">
        <v>66</v>
      </c>
      <c r="F60" s="23">
        <v>400</v>
      </c>
      <c r="G60" s="21">
        <f>'[1]МКУ Хозслужба'!AC7</f>
        <v>0</v>
      </c>
      <c r="H60" s="21">
        <f>G60</f>
        <v>0</v>
      </c>
      <c r="I60" s="21">
        <f>G60</f>
        <v>0</v>
      </c>
    </row>
    <row r="61" spans="1:12" x14ac:dyDescent="0.2">
      <c r="A61" s="24"/>
      <c r="B61" s="22"/>
      <c r="C61" s="25"/>
      <c r="D61" s="22"/>
      <c r="E61" s="22"/>
      <c r="F61" s="23"/>
      <c r="G61" s="26"/>
      <c r="H61" s="16"/>
      <c r="I61" s="16"/>
    </row>
    <row r="62" spans="1:12" x14ac:dyDescent="0.2">
      <c r="A62" s="17" t="s">
        <v>67</v>
      </c>
      <c r="B62" s="22"/>
      <c r="C62" s="19" t="s">
        <v>17</v>
      </c>
      <c r="D62" s="18" t="s">
        <v>51</v>
      </c>
      <c r="E62" s="18"/>
      <c r="F62" s="19">
        <v>0</v>
      </c>
      <c r="G62" s="21">
        <f>G63+G64</f>
        <v>2679380</v>
      </c>
      <c r="H62" s="21">
        <f>H63+H64</f>
        <v>2679380</v>
      </c>
      <c r="I62" s="21">
        <f>I63+I64</f>
        <v>2679380</v>
      </c>
    </row>
    <row r="63" spans="1:12" ht="25.5" x14ac:dyDescent="0.2">
      <c r="A63" s="27" t="s">
        <v>68</v>
      </c>
      <c r="B63" s="22"/>
      <c r="C63" s="25" t="s">
        <v>17</v>
      </c>
      <c r="D63" s="22" t="s">
        <v>51</v>
      </c>
      <c r="E63" s="22" t="s">
        <v>69</v>
      </c>
      <c r="F63" s="23">
        <v>611</v>
      </c>
      <c r="G63" s="21">
        <f>'[1]МБУ ЦБ'!V6</f>
        <v>2679380</v>
      </c>
      <c r="H63" s="21">
        <f>G63</f>
        <v>2679380</v>
      </c>
      <c r="I63" s="21">
        <f>H63</f>
        <v>2679380</v>
      </c>
    </row>
    <row r="64" spans="1:12" x14ac:dyDescent="0.2">
      <c r="A64" s="24" t="s">
        <v>70</v>
      </c>
      <c r="B64" s="22"/>
      <c r="C64" s="25" t="s">
        <v>17</v>
      </c>
      <c r="D64" s="22" t="s">
        <v>51</v>
      </c>
      <c r="E64" s="22" t="s">
        <v>69</v>
      </c>
      <c r="F64" s="23">
        <v>612</v>
      </c>
      <c r="G64" s="21">
        <f>'[1]МБУ ЦБ'!V7</f>
        <v>0</v>
      </c>
      <c r="H64" s="21">
        <f>G64</f>
        <v>0</v>
      </c>
      <c r="I64" s="21">
        <f>H64</f>
        <v>0</v>
      </c>
    </row>
    <row r="65" spans="1:12" ht="25.5" x14ac:dyDescent="0.2">
      <c r="A65" s="17" t="s">
        <v>71</v>
      </c>
      <c r="B65" s="18" t="s">
        <v>14</v>
      </c>
      <c r="C65" s="19" t="s">
        <v>27</v>
      </c>
      <c r="D65" s="18" t="s">
        <v>18</v>
      </c>
      <c r="E65" s="18"/>
      <c r="F65" s="20"/>
      <c r="G65" s="21">
        <f>SUM(G66,G70)</f>
        <v>4719248.0707200002</v>
      </c>
      <c r="H65" s="21">
        <f>SUM(H66,H70)</f>
        <v>4349248.0707200002</v>
      </c>
      <c r="I65" s="21">
        <f>SUM(I66,I70)</f>
        <v>4349248.0707200002</v>
      </c>
    </row>
    <row r="66" spans="1:12" ht="25.5" x14ac:dyDescent="0.2">
      <c r="A66" s="14" t="s">
        <v>72</v>
      </c>
      <c r="B66" s="22" t="s">
        <v>14</v>
      </c>
      <c r="C66" s="19" t="s">
        <v>27</v>
      </c>
      <c r="D66" s="18" t="s">
        <v>31</v>
      </c>
      <c r="E66" s="18"/>
      <c r="F66" s="20"/>
      <c r="G66" s="21">
        <f>SUM(G67)</f>
        <v>0</v>
      </c>
      <c r="H66" s="21">
        <f>SUM(H67)</f>
        <v>0</v>
      </c>
      <c r="I66" s="21">
        <f>SUM(I67)</f>
        <v>0</v>
      </c>
    </row>
    <row r="67" spans="1:12" ht="25.5" x14ac:dyDescent="0.2">
      <c r="A67" s="14" t="s">
        <v>73</v>
      </c>
      <c r="B67" s="22" t="s">
        <v>14</v>
      </c>
      <c r="C67" s="19" t="s">
        <v>27</v>
      </c>
      <c r="D67" s="18" t="s">
        <v>31</v>
      </c>
      <c r="E67" s="18" t="s">
        <v>74</v>
      </c>
      <c r="F67" s="25" t="s">
        <v>23</v>
      </c>
      <c r="G67" s="21">
        <f>SUM(G68:G69)</f>
        <v>0</v>
      </c>
      <c r="H67" s="21">
        <f>SUM(H68:H69)</f>
        <v>0</v>
      </c>
      <c r="I67" s="21">
        <f>SUM(I68:I69)</f>
        <v>0</v>
      </c>
    </row>
    <row r="68" spans="1:12" ht="25.5" x14ac:dyDescent="0.2">
      <c r="A68" s="24" t="s">
        <v>24</v>
      </c>
      <c r="B68" s="22"/>
      <c r="C68" s="25" t="s">
        <v>27</v>
      </c>
      <c r="D68" s="22" t="s">
        <v>31</v>
      </c>
      <c r="E68" s="22" t="s">
        <v>74</v>
      </c>
      <c r="F68" s="23">
        <v>120</v>
      </c>
      <c r="G68" s="26">
        <f>'[1]Аппарат свод'!AK16</f>
        <v>0</v>
      </c>
      <c r="H68" s="16">
        <f>G68</f>
        <v>0</v>
      </c>
      <c r="I68" s="16">
        <f>G68</f>
        <v>0</v>
      </c>
    </row>
    <row r="69" spans="1:12" ht="25.5" x14ac:dyDescent="0.2">
      <c r="A69" s="24" t="s">
        <v>25</v>
      </c>
      <c r="B69" s="22"/>
      <c r="C69" s="25" t="s">
        <v>27</v>
      </c>
      <c r="D69" s="22" t="s">
        <v>31</v>
      </c>
      <c r="E69" s="22" t="s">
        <v>74</v>
      </c>
      <c r="F69" s="23">
        <v>240</v>
      </c>
      <c r="G69" s="26">
        <f>'[1]Аппарат свод'!AL16</f>
        <v>0</v>
      </c>
      <c r="H69" s="16">
        <f>G69</f>
        <v>0</v>
      </c>
      <c r="I69" s="16">
        <f>G69</f>
        <v>0</v>
      </c>
    </row>
    <row r="70" spans="1:12" x14ac:dyDescent="0.2">
      <c r="A70" s="28" t="s">
        <v>75</v>
      </c>
      <c r="B70" s="29" t="s">
        <v>14</v>
      </c>
      <c r="C70" s="19" t="s">
        <v>27</v>
      </c>
      <c r="D70" s="18" t="s">
        <v>76</v>
      </c>
      <c r="E70" s="18"/>
      <c r="F70" s="25"/>
      <c r="G70" s="21">
        <f>SUM(G72:G76)+370000</f>
        <v>4719248.0707200002</v>
      </c>
      <c r="H70" s="21">
        <f>SUM(H72:H76)</f>
        <v>4349248.0707200002</v>
      </c>
      <c r="I70" s="21">
        <f>SUM(I72:I76)</f>
        <v>4349248.0707200002</v>
      </c>
    </row>
    <row r="71" spans="1:12" ht="38.25" x14ac:dyDescent="0.2">
      <c r="A71" s="30" t="s">
        <v>77</v>
      </c>
      <c r="B71" s="29" t="s">
        <v>14</v>
      </c>
      <c r="C71" s="19" t="s">
        <v>27</v>
      </c>
      <c r="D71" s="18" t="s">
        <v>76</v>
      </c>
      <c r="E71" s="18" t="s">
        <v>78</v>
      </c>
      <c r="F71" s="25"/>
      <c r="G71" s="21">
        <f>SUM(G72:G73)</f>
        <v>0</v>
      </c>
      <c r="H71" s="21">
        <f>SUM(H72:H73)</f>
        <v>0</v>
      </c>
      <c r="I71" s="21">
        <f>SUM(I72:I73)</f>
        <v>0</v>
      </c>
    </row>
    <row r="72" spans="1:12" ht="25.5" x14ac:dyDescent="0.2">
      <c r="A72" s="31" t="s">
        <v>79</v>
      </c>
      <c r="B72" s="29" t="s">
        <v>14</v>
      </c>
      <c r="C72" s="19" t="s">
        <v>27</v>
      </c>
      <c r="D72" s="18" t="s">
        <v>76</v>
      </c>
      <c r="E72" s="18" t="s">
        <v>80</v>
      </c>
      <c r="F72" s="25" t="s">
        <v>81</v>
      </c>
      <c r="G72" s="21">
        <f>'[1]Муниц прогр №0'!H102</f>
        <v>0</v>
      </c>
      <c r="H72" s="21"/>
      <c r="I72" s="21"/>
    </row>
    <row r="73" spans="1:12" x14ac:dyDescent="0.2">
      <c r="A73" s="32" t="s">
        <v>82</v>
      </c>
      <c r="B73" s="29" t="s">
        <v>14</v>
      </c>
      <c r="C73" s="19" t="s">
        <v>27</v>
      </c>
      <c r="D73" s="18" t="s">
        <v>76</v>
      </c>
      <c r="E73" s="18" t="s">
        <v>83</v>
      </c>
      <c r="F73" s="25" t="s">
        <v>81</v>
      </c>
      <c r="G73" s="21">
        <f>'[1]Муниц прогр №0'!H108</f>
        <v>0</v>
      </c>
      <c r="H73" s="21"/>
      <c r="I73" s="21"/>
    </row>
    <row r="74" spans="1:12" ht="25.5" x14ac:dyDescent="0.2">
      <c r="A74" s="24" t="s">
        <v>24</v>
      </c>
      <c r="B74" s="22"/>
      <c r="C74" s="25" t="s">
        <v>27</v>
      </c>
      <c r="D74" s="22" t="s">
        <v>76</v>
      </c>
      <c r="E74" s="18" t="s">
        <v>33</v>
      </c>
      <c r="F74" s="23">
        <v>120</v>
      </c>
      <c r="G74" s="26">
        <f>'[1]Аппарат свод'!AK14</f>
        <v>1606277.79262</v>
      </c>
      <c r="H74" s="16">
        <f>G74</f>
        <v>1606277.79262</v>
      </c>
      <c r="I74" s="16">
        <f>G74</f>
        <v>1606277.79262</v>
      </c>
      <c r="K74" s="3" t="s">
        <v>15</v>
      </c>
    </row>
    <row r="75" spans="1:12" ht="25.5" x14ac:dyDescent="0.2">
      <c r="A75" s="24" t="s">
        <v>25</v>
      </c>
      <c r="B75" s="22"/>
      <c r="C75" s="25" t="s">
        <v>27</v>
      </c>
      <c r="D75" s="22" t="s">
        <v>76</v>
      </c>
      <c r="E75" s="22" t="s">
        <v>33</v>
      </c>
      <c r="F75" s="23">
        <v>240</v>
      </c>
      <c r="G75" s="26">
        <f>'[1]Аппарат свод'!AL14</f>
        <v>47260.198099999921</v>
      </c>
      <c r="H75" s="16">
        <f>G75</f>
        <v>47260.198099999921</v>
      </c>
      <c r="I75" s="16">
        <f>G75</f>
        <v>47260.198099999921</v>
      </c>
    </row>
    <row r="76" spans="1:12" x14ac:dyDescent="0.2">
      <c r="A76" s="17" t="s">
        <v>84</v>
      </c>
      <c r="B76" s="22"/>
      <c r="C76" s="25" t="s">
        <v>27</v>
      </c>
      <c r="D76" s="22" t="s">
        <v>76</v>
      </c>
      <c r="E76" s="22"/>
      <c r="F76" s="23">
        <v>0</v>
      </c>
      <c r="G76" s="21">
        <f>SUM(G77:G78)</f>
        <v>2695710.08</v>
      </c>
      <c r="H76" s="21">
        <f>SUM(H77:H78)</f>
        <v>2695710.08</v>
      </c>
      <c r="I76" s="21">
        <f>SUM(I77:I78)</f>
        <v>2695710.08</v>
      </c>
    </row>
    <row r="77" spans="1:12" ht="25.5" x14ac:dyDescent="0.2">
      <c r="A77" s="24" t="s">
        <v>85</v>
      </c>
      <c r="B77" s="22"/>
      <c r="C77" s="25" t="s">
        <v>27</v>
      </c>
      <c r="D77" s="22" t="s">
        <v>76</v>
      </c>
      <c r="E77" s="18" t="s">
        <v>86</v>
      </c>
      <c r="F77" s="23">
        <v>110</v>
      </c>
      <c r="G77" s="26">
        <f>'[1]МКУ ЕДДС'!Z7</f>
        <v>2585710.08</v>
      </c>
      <c r="H77" s="16">
        <f>G77</f>
        <v>2585710.08</v>
      </c>
      <c r="I77" s="16">
        <f>G77</f>
        <v>2585710.08</v>
      </c>
    </row>
    <row r="78" spans="1:12" ht="25.5" x14ac:dyDescent="0.2">
      <c r="A78" s="24" t="s">
        <v>25</v>
      </c>
      <c r="B78" s="22"/>
      <c r="C78" s="25" t="s">
        <v>27</v>
      </c>
      <c r="D78" s="22" t="s">
        <v>76</v>
      </c>
      <c r="E78" s="22" t="s">
        <v>86</v>
      </c>
      <c r="F78" s="23">
        <v>240</v>
      </c>
      <c r="G78" s="26">
        <f>'[1]МКУ ЕДДС'!AA7</f>
        <v>110000</v>
      </c>
      <c r="H78" s="16">
        <f>G78</f>
        <v>110000</v>
      </c>
      <c r="I78" s="16">
        <f>G78</f>
        <v>110000</v>
      </c>
    </row>
    <row r="79" spans="1:12" x14ac:dyDescent="0.2">
      <c r="A79" s="17" t="s">
        <v>87</v>
      </c>
      <c r="B79" s="22"/>
      <c r="C79" s="19" t="s">
        <v>31</v>
      </c>
      <c r="D79" s="18" t="s">
        <v>18</v>
      </c>
      <c r="E79" s="18"/>
      <c r="F79" s="20"/>
      <c r="G79" s="21">
        <f>SUM(G80,G83,G87,G88)</f>
        <v>28969184.181759998</v>
      </c>
      <c r="H79" s="21">
        <f>SUM(H80,H83,H87,H88)</f>
        <v>26077184.181759998</v>
      </c>
      <c r="I79" s="21">
        <f>SUM(I80,I83,I87,I88)</f>
        <v>10346184.18176</v>
      </c>
      <c r="L79" s="3" t="s">
        <v>15</v>
      </c>
    </row>
    <row r="80" spans="1:12" x14ac:dyDescent="0.2">
      <c r="A80" s="17" t="s">
        <v>15</v>
      </c>
      <c r="B80" s="22"/>
      <c r="C80" s="19" t="s">
        <v>31</v>
      </c>
      <c r="D80" s="18" t="s">
        <v>17</v>
      </c>
      <c r="E80" s="18" t="s">
        <v>88</v>
      </c>
      <c r="F80" s="20">
        <v>240</v>
      </c>
      <c r="G80" s="21">
        <v>0</v>
      </c>
      <c r="H80" s="21">
        <f>G80</f>
        <v>0</v>
      </c>
      <c r="I80" s="21">
        <f>H80</f>
        <v>0</v>
      </c>
    </row>
    <row r="81" spans="1:13" x14ac:dyDescent="0.2">
      <c r="A81" s="17" t="s">
        <v>89</v>
      </c>
      <c r="B81" s="18" t="s">
        <v>90</v>
      </c>
      <c r="C81" s="19"/>
      <c r="D81" s="18"/>
      <c r="E81" s="18"/>
      <c r="F81" s="20"/>
      <c r="G81" s="21"/>
      <c r="H81" s="16"/>
      <c r="I81" s="16"/>
    </row>
    <row r="82" spans="1:13" x14ac:dyDescent="0.2">
      <c r="A82" s="17" t="s">
        <v>91</v>
      </c>
      <c r="B82" s="18" t="s">
        <v>90</v>
      </c>
      <c r="C82" s="19" t="s">
        <v>31</v>
      </c>
      <c r="D82" s="18" t="s">
        <v>36</v>
      </c>
      <c r="E82" s="18" t="s">
        <v>15</v>
      </c>
      <c r="F82" s="25" t="s">
        <v>23</v>
      </c>
      <c r="G82" s="21">
        <f>SUM(G83,G87)</f>
        <v>2872584.1817600001</v>
      </c>
      <c r="H82" s="21">
        <f>SUM(H83,H87)</f>
        <v>2872584.1817600001</v>
      </c>
      <c r="I82" s="21">
        <f>SUM(I83,I87)</f>
        <v>2872584.1817600001</v>
      </c>
    </row>
    <row r="83" spans="1:13" ht="25.5" x14ac:dyDescent="0.2">
      <c r="A83" s="17" t="s">
        <v>92</v>
      </c>
      <c r="B83" s="22"/>
      <c r="C83" s="19" t="s">
        <v>31</v>
      </c>
      <c r="D83" s="18" t="s">
        <v>36</v>
      </c>
      <c r="E83" s="18" t="s">
        <v>33</v>
      </c>
      <c r="F83" s="20"/>
      <c r="G83" s="21">
        <f>SUM(G84:G86)</f>
        <v>2872584.1817600001</v>
      </c>
      <c r="H83" s="21">
        <f>SUM(H84:H86)</f>
        <v>2872584.1817600001</v>
      </c>
      <c r="I83" s="21">
        <f>SUM(I84:I86)</f>
        <v>2872584.1817600001</v>
      </c>
    </row>
    <row r="84" spans="1:13" ht="25.5" x14ac:dyDescent="0.2">
      <c r="A84" s="24" t="s">
        <v>24</v>
      </c>
      <c r="B84" s="22"/>
      <c r="C84" s="25" t="s">
        <v>31</v>
      </c>
      <c r="D84" s="22" t="s">
        <v>36</v>
      </c>
      <c r="E84" s="22" t="s">
        <v>33</v>
      </c>
      <c r="F84" s="23">
        <v>120</v>
      </c>
      <c r="G84" s="26">
        <f>[1]УСХ!AC7+1</f>
        <v>2598967.5819600001</v>
      </c>
      <c r="H84" s="16">
        <f t="shared" ref="H84:I86" si="3">G84</f>
        <v>2598967.5819600001</v>
      </c>
      <c r="I84" s="16">
        <f t="shared" si="3"/>
        <v>2598967.5819600001</v>
      </c>
    </row>
    <row r="85" spans="1:13" ht="25.5" x14ac:dyDescent="0.2">
      <c r="A85" s="24" t="s">
        <v>25</v>
      </c>
      <c r="B85" s="22"/>
      <c r="C85" s="25" t="s">
        <v>31</v>
      </c>
      <c r="D85" s="22" t="s">
        <v>36</v>
      </c>
      <c r="E85" s="22" t="s">
        <v>33</v>
      </c>
      <c r="F85" s="23">
        <v>240</v>
      </c>
      <c r="G85" s="26">
        <f>[1]УСХ!AD7</f>
        <v>273616.59979999997</v>
      </c>
      <c r="H85" s="16">
        <f t="shared" si="3"/>
        <v>273616.59979999997</v>
      </c>
      <c r="I85" s="16">
        <f t="shared" si="3"/>
        <v>273616.59979999997</v>
      </c>
    </row>
    <row r="86" spans="1:13" ht="25.5" x14ac:dyDescent="0.2">
      <c r="A86" s="24" t="s">
        <v>25</v>
      </c>
      <c r="B86" s="22"/>
      <c r="C86" s="25" t="s">
        <v>31</v>
      </c>
      <c r="D86" s="22" t="s">
        <v>36</v>
      </c>
      <c r="E86" s="22" t="s">
        <v>33</v>
      </c>
      <c r="F86" s="23">
        <v>850</v>
      </c>
      <c r="G86" s="26">
        <f>[1]УСХ!AE7</f>
        <v>0</v>
      </c>
      <c r="H86" s="16">
        <f t="shared" si="3"/>
        <v>0</v>
      </c>
      <c r="I86" s="16">
        <f t="shared" si="3"/>
        <v>0</v>
      </c>
    </row>
    <row r="87" spans="1:13" x14ac:dyDescent="0.2">
      <c r="A87" s="17" t="s">
        <v>93</v>
      </c>
      <c r="B87" s="22"/>
      <c r="C87" s="25" t="s">
        <v>31</v>
      </c>
      <c r="D87" s="22" t="s">
        <v>36</v>
      </c>
      <c r="E87" s="22" t="s">
        <v>69</v>
      </c>
      <c r="F87" s="23">
        <v>240</v>
      </c>
      <c r="G87" s="26">
        <f>'[1]Аппарат свод'!AL43</f>
        <v>0</v>
      </c>
      <c r="H87" s="16">
        <v>0</v>
      </c>
      <c r="I87" s="16">
        <v>0</v>
      </c>
    </row>
    <row r="88" spans="1:13" x14ac:dyDescent="0.2">
      <c r="A88" s="17" t="s">
        <v>94</v>
      </c>
      <c r="B88" s="22" t="s">
        <v>41</v>
      </c>
      <c r="C88" s="19" t="s">
        <v>31</v>
      </c>
      <c r="D88" s="18" t="s">
        <v>76</v>
      </c>
      <c r="E88" s="18"/>
      <c r="F88" s="25" t="s">
        <v>23</v>
      </c>
      <c r="G88" s="21">
        <f>SUM(G89)</f>
        <v>26096600</v>
      </c>
      <c r="H88" s="21">
        <f>SUM(H89)</f>
        <v>23204600</v>
      </c>
      <c r="I88" s="21">
        <f>SUM(I89)</f>
        <v>7473600</v>
      </c>
    </row>
    <row r="89" spans="1:13" ht="25.5" x14ac:dyDescent="0.2">
      <c r="A89" s="33" t="s">
        <v>95</v>
      </c>
      <c r="B89" s="22"/>
      <c r="C89" s="25" t="s">
        <v>31</v>
      </c>
      <c r="D89" s="22" t="s">
        <v>76</v>
      </c>
      <c r="E89" s="18" t="s">
        <v>96</v>
      </c>
      <c r="F89" s="25" t="s">
        <v>23</v>
      </c>
      <c r="G89" s="21">
        <f>SUM(G90:G92)</f>
        <v>26096600</v>
      </c>
      <c r="H89" s="21">
        <f>SUM(H90:H92)</f>
        <v>23204600</v>
      </c>
      <c r="I89" s="21">
        <f>SUM(I90:I92)</f>
        <v>7473600</v>
      </c>
    </row>
    <row r="90" spans="1:13" ht="38.25" x14ac:dyDescent="0.2">
      <c r="A90" s="33" t="s">
        <v>97</v>
      </c>
      <c r="B90" s="22"/>
      <c r="C90" s="25" t="s">
        <v>31</v>
      </c>
      <c r="D90" s="22" t="s">
        <v>76</v>
      </c>
      <c r="E90" s="22" t="s">
        <v>96</v>
      </c>
      <c r="F90" s="23">
        <v>530</v>
      </c>
      <c r="G90" s="26">
        <f>'[1]Автоакц расш №2 к прил 5'!C29</f>
        <v>21515000</v>
      </c>
      <c r="H90" s="26">
        <f>'[1]Автоакц расш №2 к прил 5'!D29</f>
        <v>18623000</v>
      </c>
      <c r="I90" s="26">
        <f>'[1]Автоакц расш №2 к прил 5'!E29</f>
        <v>2892000</v>
      </c>
    </row>
    <row r="91" spans="1:13" ht="38.25" x14ac:dyDescent="0.2">
      <c r="A91" s="33" t="s">
        <v>98</v>
      </c>
      <c r="B91" s="22"/>
      <c r="C91" s="25" t="s">
        <v>31</v>
      </c>
      <c r="D91" s="22" t="s">
        <v>76</v>
      </c>
      <c r="E91" s="22" t="s">
        <v>96</v>
      </c>
      <c r="F91" s="23">
        <v>612</v>
      </c>
      <c r="G91" s="26">
        <f>'[1]Автоакц расш №2 к прил 5'!C45</f>
        <v>4059668</v>
      </c>
      <c r="H91" s="26">
        <f>G91</f>
        <v>4059668</v>
      </c>
      <c r="I91" s="26">
        <f>H91</f>
        <v>4059668</v>
      </c>
      <c r="M91" s="3" t="s">
        <v>15</v>
      </c>
    </row>
    <row r="92" spans="1:13" x14ac:dyDescent="0.2">
      <c r="A92" s="33" t="s">
        <v>99</v>
      </c>
      <c r="B92" s="22"/>
      <c r="C92" s="25" t="s">
        <v>31</v>
      </c>
      <c r="D92" s="22" t="s">
        <v>76</v>
      </c>
      <c r="E92" s="22" t="s">
        <v>100</v>
      </c>
      <c r="F92" s="23">
        <v>870</v>
      </c>
      <c r="G92" s="26">
        <f>'[1]Автоакц расш №2 к прил 5'!D46</f>
        <v>521932</v>
      </c>
      <c r="H92" s="26">
        <f>G92</f>
        <v>521932</v>
      </c>
      <c r="I92" s="26">
        <f>H92</f>
        <v>521932</v>
      </c>
    </row>
    <row r="93" spans="1:13" x14ac:dyDescent="0.2">
      <c r="A93" s="17" t="s">
        <v>101</v>
      </c>
      <c r="B93" s="22" t="s">
        <v>102</v>
      </c>
      <c r="C93" s="19" t="s">
        <v>36</v>
      </c>
      <c r="D93" s="18" t="s">
        <v>18</v>
      </c>
      <c r="E93" s="18"/>
      <c r="F93" s="20"/>
      <c r="G93" s="21">
        <f>SUM(G94:G100)</f>
        <v>33037129</v>
      </c>
      <c r="H93" s="21">
        <f>SUM(H94:H100)</f>
        <v>31918246</v>
      </c>
      <c r="I93" s="21">
        <f>SUM(I94:I100)</f>
        <v>23536580</v>
      </c>
    </row>
    <row r="94" spans="1:13" ht="25.5" x14ac:dyDescent="0.2">
      <c r="A94" s="27" t="s">
        <v>68</v>
      </c>
      <c r="B94" s="22"/>
      <c r="C94" s="19" t="s">
        <v>36</v>
      </c>
      <c r="D94" s="18" t="s">
        <v>20</v>
      </c>
      <c r="E94" s="22" t="s">
        <v>103</v>
      </c>
      <c r="F94" s="20">
        <v>611</v>
      </c>
      <c r="G94" s="21">
        <f>'[1]МБУ ЖКХ'!AO9</f>
        <v>907677</v>
      </c>
      <c r="H94" s="21">
        <f t="shared" ref="H94:I96" si="4">G94</f>
        <v>907677</v>
      </c>
      <c r="I94" s="21">
        <f t="shared" si="4"/>
        <v>907677</v>
      </c>
    </row>
    <row r="95" spans="1:13" x14ac:dyDescent="0.2">
      <c r="A95" s="24" t="s">
        <v>70</v>
      </c>
      <c r="B95" s="22"/>
      <c r="C95" s="19" t="s">
        <v>36</v>
      </c>
      <c r="D95" s="18" t="s">
        <v>20</v>
      </c>
      <c r="E95" s="22" t="s">
        <v>103</v>
      </c>
      <c r="F95" s="20">
        <v>612</v>
      </c>
      <c r="G95" s="21">
        <f>'[1]МБУ ЖКХ'!AO21</f>
        <v>8210000</v>
      </c>
      <c r="H95" s="21">
        <f t="shared" si="4"/>
        <v>8210000</v>
      </c>
      <c r="I95" s="21">
        <f t="shared" si="4"/>
        <v>8210000</v>
      </c>
    </row>
    <row r="96" spans="1:13" ht="25.5" x14ac:dyDescent="0.2">
      <c r="A96" s="27" t="s">
        <v>68</v>
      </c>
      <c r="B96" s="22"/>
      <c r="C96" s="19" t="s">
        <v>36</v>
      </c>
      <c r="D96" s="18" t="s">
        <v>27</v>
      </c>
      <c r="E96" s="22" t="s">
        <v>103</v>
      </c>
      <c r="F96" s="20">
        <v>611</v>
      </c>
      <c r="G96" s="21">
        <f>'[1]МБУ ЖКХ'!AO10</f>
        <v>5572860</v>
      </c>
      <c r="H96" s="21">
        <f t="shared" si="4"/>
        <v>5572860</v>
      </c>
      <c r="I96" s="21">
        <f t="shared" si="4"/>
        <v>5572860</v>
      </c>
    </row>
    <row r="97" spans="1:12" x14ac:dyDescent="0.2">
      <c r="A97" s="24" t="s">
        <v>70</v>
      </c>
      <c r="B97" s="22"/>
      <c r="C97" s="19" t="s">
        <v>36</v>
      </c>
      <c r="D97" s="18" t="s">
        <v>17</v>
      </c>
      <c r="E97" s="22" t="s">
        <v>103</v>
      </c>
      <c r="F97" s="20">
        <v>612</v>
      </c>
      <c r="G97" s="21">
        <f>'[1]МБУ ЖКХ'!AO14</f>
        <v>258763</v>
      </c>
      <c r="H97" s="21">
        <v>0</v>
      </c>
      <c r="I97" s="21"/>
      <c r="K97" s="3" t="s">
        <v>15</v>
      </c>
    </row>
    <row r="98" spans="1:12" ht="25.5" x14ac:dyDescent="0.2">
      <c r="A98" s="24" t="s">
        <v>58</v>
      </c>
      <c r="B98" s="22"/>
      <c r="C98" s="19" t="s">
        <v>36</v>
      </c>
      <c r="D98" s="18" t="s">
        <v>27</v>
      </c>
      <c r="E98" s="22" t="s">
        <v>104</v>
      </c>
      <c r="F98" s="23">
        <v>400</v>
      </c>
      <c r="G98" s="26">
        <f>'[1]МБУ ЖКХ'!AO46+'[1]МБУ ЖКХ'!AO34</f>
        <v>9241786</v>
      </c>
      <c r="H98" s="26">
        <v>8381666</v>
      </c>
      <c r="I98" s="26"/>
      <c r="L98" s="3" t="s">
        <v>15</v>
      </c>
    </row>
    <row r="99" spans="1:12" x14ac:dyDescent="0.2">
      <c r="A99" s="24"/>
      <c r="B99" s="22"/>
      <c r="C99" s="19" t="s">
        <v>36</v>
      </c>
      <c r="D99" s="18" t="s">
        <v>36</v>
      </c>
      <c r="E99" s="22" t="s">
        <v>104</v>
      </c>
      <c r="F99" s="23">
        <v>611</v>
      </c>
      <c r="G99" s="21">
        <f>'[1]МБУ ЖКХ прил №22'!C19</f>
        <v>8846043</v>
      </c>
      <c r="H99" s="26">
        <f>G99</f>
        <v>8846043</v>
      </c>
      <c r="I99" s="26">
        <f>H99</f>
        <v>8846043</v>
      </c>
    </row>
    <row r="100" spans="1:12" x14ac:dyDescent="0.2">
      <c r="A100" s="24"/>
      <c r="B100" s="22"/>
      <c r="C100" s="19" t="s">
        <v>31</v>
      </c>
      <c r="D100" s="18" t="s">
        <v>76</v>
      </c>
      <c r="E100" s="22" t="s">
        <v>105</v>
      </c>
      <c r="F100" s="23"/>
      <c r="G100" s="21">
        <v>0</v>
      </c>
      <c r="H100" s="26">
        <v>0</v>
      </c>
      <c r="I100" s="26">
        <v>0</v>
      </c>
    </row>
    <row r="101" spans="1:12" ht="25.5" x14ac:dyDescent="0.2">
      <c r="A101" s="14" t="s">
        <v>106</v>
      </c>
      <c r="B101" s="18" t="s">
        <v>107</v>
      </c>
      <c r="C101" s="25"/>
      <c r="D101" s="22"/>
      <c r="E101" s="22"/>
      <c r="F101" s="23"/>
      <c r="G101" s="26"/>
      <c r="H101" s="16"/>
      <c r="I101" s="16"/>
    </row>
    <row r="102" spans="1:12" x14ac:dyDescent="0.2">
      <c r="A102" s="17" t="s">
        <v>108</v>
      </c>
      <c r="B102" s="18" t="s">
        <v>107</v>
      </c>
      <c r="C102" s="19" t="s">
        <v>109</v>
      </c>
      <c r="D102" s="18"/>
      <c r="E102" s="18"/>
      <c r="F102" s="20"/>
      <c r="G102" s="21">
        <f>SUM(G103,G113,G126,G136,G139)</f>
        <v>905911504.65572524</v>
      </c>
      <c r="H102" s="21">
        <f>SUM(H103,H113,H126,H136,H139)</f>
        <v>869415530.32872522</v>
      </c>
      <c r="I102" s="21">
        <f>SUM(I103,I113,I126,I136,I139)</f>
        <v>902182604.32872522</v>
      </c>
    </row>
    <row r="103" spans="1:12" x14ac:dyDescent="0.2">
      <c r="A103" s="14" t="s">
        <v>110</v>
      </c>
      <c r="B103" s="18" t="s">
        <v>107</v>
      </c>
      <c r="C103" s="19" t="s">
        <v>109</v>
      </c>
      <c r="D103" s="18" t="s">
        <v>17</v>
      </c>
      <c r="E103" s="18" t="s">
        <v>111</v>
      </c>
      <c r="F103" s="19" t="s">
        <v>23</v>
      </c>
      <c r="G103" s="21">
        <f>SUM(G104,G106:G107,G109,G110,G111,G112)</f>
        <v>205358731.5425652</v>
      </c>
      <c r="H103" s="21">
        <f>SUM(H106:H107,H109,H110,H111,H112)</f>
        <v>193210987.63956517</v>
      </c>
      <c r="I103" s="21">
        <f>SUM(I106:I107,I109,I110,I111,I112)</f>
        <v>225736738.63956517</v>
      </c>
    </row>
    <row r="104" spans="1:12" ht="38.25" x14ac:dyDescent="0.2">
      <c r="A104" s="30" t="s">
        <v>77</v>
      </c>
      <c r="B104" s="18" t="s">
        <v>107</v>
      </c>
      <c r="C104" s="19" t="s">
        <v>109</v>
      </c>
      <c r="D104" s="18" t="s">
        <v>17</v>
      </c>
      <c r="E104" s="18" t="s">
        <v>112</v>
      </c>
      <c r="F104" s="19" t="s">
        <v>23</v>
      </c>
      <c r="G104" s="21">
        <f>SUM(G105)</f>
        <v>0</v>
      </c>
      <c r="H104" s="21">
        <f>SUM(H105)</f>
        <v>0</v>
      </c>
      <c r="I104" s="21">
        <f>SUM(I105)</f>
        <v>0</v>
      </c>
    </row>
    <row r="105" spans="1:12" ht="51" x14ac:dyDescent="0.2">
      <c r="A105" s="17" t="s">
        <v>113</v>
      </c>
      <c r="B105" s="18" t="s">
        <v>107</v>
      </c>
      <c r="C105" s="19" t="s">
        <v>109</v>
      </c>
      <c r="D105" s="18" t="s">
        <v>17</v>
      </c>
      <c r="E105" s="18" t="s">
        <v>112</v>
      </c>
      <c r="F105" s="19" t="s">
        <v>81</v>
      </c>
      <c r="G105" s="21">
        <f>'[1]ясли сады (контр) по программе'!D25</f>
        <v>0</v>
      </c>
      <c r="H105" s="21">
        <f t="shared" ref="H105:I107" si="5">G105</f>
        <v>0</v>
      </c>
      <c r="I105" s="21">
        <f t="shared" si="5"/>
        <v>0</v>
      </c>
    </row>
    <row r="106" spans="1:12" ht="25.5" x14ac:dyDescent="0.2">
      <c r="A106" s="24" t="s">
        <v>85</v>
      </c>
      <c r="B106" s="22"/>
      <c r="C106" s="25" t="s">
        <v>109</v>
      </c>
      <c r="D106" s="22" t="s">
        <v>17</v>
      </c>
      <c r="E106" s="18" t="s">
        <v>114</v>
      </c>
      <c r="F106" s="19" t="s">
        <v>115</v>
      </c>
      <c r="G106" s="21">
        <f>'[1]прилож №13 гостан '!H62+'[1]прилож №13 гостан '!J62+'[1]прилож №13 гостан '!H73+'[1]прилож №13 гостан '!J73+'[1]прилож №13 гостан '!I62</f>
        <v>116496169.9770052</v>
      </c>
      <c r="H106" s="21">
        <f t="shared" si="5"/>
        <v>116496169.9770052</v>
      </c>
      <c r="I106" s="21">
        <f t="shared" si="5"/>
        <v>116496169.9770052</v>
      </c>
    </row>
    <row r="107" spans="1:12" ht="25.5" x14ac:dyDescent="0.2">
      <c r="A107" s="24" t="s">
        <v>25</v>
      </c>
      <c r="B107" s="22"/>
      <c r="C107" s="25" t="s">
        <v>109</v>
      </c>
      <c r="D107" s="22" t="s">
        <v>17</v>
      </c>
      <c r="E107" s="22" t="s">
        <v>114</v>
      </c>
      <c r="F107" s="25" t="s">
        <v>81</v>
      </c>
      <c r="G107" s="21">
        <f>'[1]прилож №13 гостан '!O62+'[1]прилож №13 гостан '!P62+'[1]прилож №13 гостан '!K62+'[1]прилож №13 гостан '!L62+'[1]прилож №13 гостан '!M62+'[1]прилож №13 гостан '!N62</f>
        <v>4673829.82</v>
      </c>
      <c r="H107" s="21">
        <f t="shared" si="5"/>
        <v>4673829.82</v>
      </c>
      <c r="I107" s="21">
        <f t="shared" si="5"/>
        <v>4673829.82</v>
      </c>
    </row>
    <row r="108" spans="1:12" x14ac:dyDescent="0.2">
      <c r="A108" s="24"/>
      <c r="B108" s="22"/>
      <c r="C108" s="25"/>
      <c r="D108" s="22"/>
      <c r="E108" s="22"/>
      <c r="F108" s="25"/>
      <c r="G108" s="21"/>
      <c r="H108" s="16"/>
      <c r="I108" s="16"/>
    </row>
    <row r="109" spans="1:12" ht="25.5" x14ac:dyDescent="0.2">
      <c r="A109" s="24" t="s">
        <v>85</v>
      </c>
      <c r="B109" s="22"/>
      <c r="C109" s="25" t="s">
        <v>109</v>
      </c>
      <c r="D109" s="22" t="s">
        <v>17</v>
      </c>
      <c r="E109" s="22" t="s">
        <v>116</v>
      </c>
      <c r="F109" s="23">
        <v>110</v>
      </c>
      <c r="G109" s="26">
        <f>'[1]Свод образ'!AH10-G106</f>
        <v>41601359.842559978</v>
      </c>
      <c r="H109" s="16">
        <f>G109</f>
        <v>41601359.842559978</v>
      </c>
      <c r="I109" s="16">
        <f>G109</f>
        <v>41601359.842559978</v>
      </c>
    </row>
    <row r="110" spans="1:12" ht="25.5" x14ac:dyDescent="0.2">
      <c r="A110" s="24" t="s">
        <v>25</v>
      </c>
      <c r="B110" s="22"/>
      <c r="C110" s="25" t="s">
        <v>109</v>
      </c>
      <c r="D110" s="22" t="s">
        <v>17</v>
      </c>
      <c r="E110" s="22" t="s">
        <v>116</v>
      </c>
      <c r="F110" s="23">
        <v>240</v>
      </c>
      <c r="G110" s="26">
        <f>'[1]Свод образ'!AI10-G107-3606947</f>
        <v>37271327.903000019</v>
      </c>
      <c r="H110" s="16">
        <v>25123584</v>
      </c>
      <c r="I110" s="16">
        <v>57649335</v>
      </c>
    </row>
    <row r="111" spans="1:12" x14ac:dyDescent="0.2">
      <c r="A111" s="24" t="s">
        <v>34</v>
      </c>
      <c r="B111" s="22"/>
      <c r="C111" s="25" t="s">
        <v>109</v>
      </c>
      <c r="D111" s="22" t="s">
        <v>17</v>
      </c>
      <c r="E111" s="22" t="s">
        <v>116</v>
      </c>
      <c r="F111" s="23">
        <v>850</v>
      </c>
      <c r="G111" s="26">
        <f>'[1]Свод образ'!AJ10+1991549</f>
        <v>5316044</v>
      </c>
      <c r="H111" s="16">
        <f>G111</f>
        <v>5316044</v>
      </c>
      <c r="I111" s="16">
        <f>G111</f>
        <v>5316044</v>
      </c>
    </row>
    <row r="112" spans="1:12" ht="25.5" x14ac:dyDescent="0.2">
      <c r="A112" s="24" t="s">
        <v>58</v>
      </c>
      <c r="B112" s="22"/>
      <c r="C112" s="25" t="s">
        <v>109</v>
      </c>
      <c r="D112" s="22" t="s">
        <v>17</v>
      </c>
      <c r="E112" s="22" t="s">
        <v>116</v>
      </c>
      <c r="F112" s="23">
        <v>400</v>
      </c>
      <c r="G112" s="26">
        <f>'[1]Свод образ'!AK10</f>
        <v>0</v>
      </c>
      <c r="H112" s="16">
        <f>G112</f>
        <v>0</v>
      </c>
      <c r="I112" s="16">
        <f>G112</f>
        <v>0</v>
      </c>
    </row>
    <row r="113" spans="1:11" x14ac:dyDescent="0.2">
      <c r="A113" s="17" t="s">
        <v>117</v>
      </c>
      <c r="B113" s="18" t="s">
        <v>107</v>
      </c>
      <c r="C113" s="19" t="s">
        <v>109</v>
      </c>
      <c r="D113" s="18" t="s">
        <v>20</v>
      </c>
      <c r="E113" s="18"/>
      <c r="F113" s="20"/>
      <c r="G113" s="21">
        <f>SUM(G114,G116)+G121</f>
        <v>611975121.90711999</v>
      </c>
      <c r="H113" s="21">
        <f>SUM(H114,H116)+H121</f>
        <v>589270270.48311996</v>
      </c>
      <c r="I113" s="21">
        <f>SUM(I114,I116)+I121</f>
        <v>589511593.48311996</v>
      </c>
    </row>
    <row r="114" spans="1:11" ht="38.25" x14ac:dyDescent="0.2">
      <c r="A114" s="30" t="s">
        <v>77</v>
      </c>
      <c r="B114" s="18" t="s">
        <v>107</v>
      </c>
      <c r="C114" s="19" t="s">
        <v>109</v>
      </c>
      <c r="D114" s="18" t="s">
        <v>20</v>
      </c>
      <c r="E114" s="18" t="s">
        <v>118</v>
      </c>
      <c r="F114" s="19" t="s">
        <v>23</v>
      </c>
      <c r="G114" s="21">
        <f>SUM(G115)</f>
        <v>0</v>
      </c>
      <c r="H114" s="21">
        <f>SUM(H115)</f>
        <v>0</v>
      </c>
      <c r="I114" s="21">
        <f>SUM(I115)</f>
        <v>0</v>
      </c>
    </row>
    <row r="115" spans="1:11" ht="51" x14ac:dyDescent="0.2">
      <c r="A115" s="17" t="s">
        <v>113</v>
      </c>
      <c r="B115" s="18" t="s">
        <v>107</v>
      </c>
      <c r="C115" s="19" t="s">
        <v>109</v>
      </c>
      <c r="D115" s="18" t="s">
        <v>20</v>
      </c>
      <c r="E115" s="18" t="s">
        <v>118</v>
      </c>
      <c r="F115" s="20">
        <v>240</v>
      </c>
      <c r="G115" s="21">
        <f>('[1]Муниц прогр №0'!H29+'[1]Муниц прогр №0'!H33+'[1]Муниц прогр №0'!H34+'[1]Муниц прогр №0'!H35+'[1]Муниц прогр №0'!H36+'[1]Муниц прогр №0'!H37+'[1]Муниц прогр №0'!H38+'[1]Муниц прогр №0'!H39+'[1]Муниц прогр №0'!H40+'[1]Муниц прогр №0'!H41+'[1]Муниц прогр №0'!H58+'[1]Муниц прогр №0'!H59+'[1]Муниц прогр №0'!H60+'[1]Муниц прогр №0'!H61+'[1]Муниц прогр №0'!H62+'[1]Муниц прогр №0'!H63+'[1]Муниц прогр №0'!H64+'[1]Муниц прогр №0'!H65+'[1]Муниц прогр №0'!H66+'[1]Муниц прогр №0'!H67+'[1]Муниц прогр №0'!H68+'[1]Муниц прогр №0'!H69+'[1]Муниц прогр №0'!H70+'[1]Муниц прогр №0'!H71+'[1]Муниц прогр №0'!H72+'[1]Муниц прогр №0'!H73)</f>
        <v>0</v>
      </c>
      <c r="H115" s="21"/>
      <c r="I115" s="21"/>
    </row>
    <row r="116" spans="1:11" ht="25.5" x14ac:dyDescent="0.2">
      <c r="A116" s="14" t="s">
        <v>119</v>
      </c>
      <c r="B116" s="18" t="s">
        <v>107</v>
      </c>
      <c r="C116" s="19" t="s">
        <v>109</v>
      </c>
      <c r="D116" s="18" t="s">
        <v>20</v>
      </c>
      <c r="E116" s="18" t="s">
        <v>15</v>
      </c>
      <c r="F116" s="20"/>
      <c r="G116" s="21">
        <f>SUM(G117,G118,G119,G120,G123,G124,G125)</f>
        <v>576287044.11111999</v>
      </c>
      <c r="H116" s="21">
        <f>SUM(H117,H118,H120,H123,H124,H125)</f>
        <v>553582192.68711996</v>
      </c>
      <c r="I116" s="21">
        <f>SUM(I117,I118,I120,I123,I124,I125)</f>
        <v>553823515.68711996</v>
      </c>
      <c r="K116" s="3" t="s">
        <v>15</v>
      </c>
    </row>
    <row r="117" spans="1:11" ht="25.5" x14ac:dyDescent="0.2">
      <c r="A117" s="24" t="s">
        <v>85</v>
      </c>
      <c r="B117" s="22"/>
      <c r="C117" s="25" t="s">
        <v>109</v>
      </c>
      <c r="D117" s="22" t="s">
        <v>20</v>
      </c>
      <c r="E117" s="18" t="s">
        <v>120</v>
      </c>
      <c r="F117" s="20">
        <v>110</v>
      </c>
      <c r="G117" s="21">
        <f>'[1]прилож №13 гостан '!H44+'[1]прилож №13 гостан '!J44</f>
        <v>484814337.16211998</v>
      </c>
      <c r="H117" s="16">
        <f>'[1]прилож №13 гостан '!H44+'[1]прилож №13 гостан '!J44</f>
        <v>484814337.16211998</v>
      </c>
      <c r="I117" s="16">
        <f>H117</f>
        <v>484814337.16211998</v>
      </c>
    </row>
    <row r="118" spans="1:11" ht="25.5" x14ac:dyDescent="0.2">
      <c r="A118" s="24" t="s">
        <v>25</v>
      </c>
      <c r="B118" s="22"/>
      <c r="C118" s="25" t="s">
        <v>109</v>
      </c>
      <c r="D118" s="22" t="s">
        <v>20</v>
      </c>
      <c r="E118" s="18" t="s">
        <v>120</v>
      </c>
      <c r="F118" s="20">
        <v>240</v>
      </c>
      <c r="G118" s="21">
        <f>'[1]прилож №13 гостан '!N44+'[1]прилож №13 гостан '!O44+'[1]прилож №13 гостан '!P44</f>
        <v>9398662.5000000019</v>
      </c>
      <c r="H118" s="16">
        <f>G118</f>
        <v>9398662.5000000019</v>
      </c>
      <c r="I118" s="16">
        <f>G118</f>
        <v>9398662.5000000019</v>
      </c>
    </row>
    <row r="119" spans="1:11" ht="25.5" x14ac:dyDescent="0.2">
      <c r="A119" s="24" t="s">
        <v>25</v>
      </c>
      <c r="B119" s="22"/>
      <c r="C119" s="25" t="s">
        <v>109</v>
      </c>
      <c r="D119" s="22" t="s">
        <v>20</v>
      </c>
      <c r="E119" s="18" t="s">
        <v>121</v>
      </c>
      <c r="F119" s="20">
        <v>240</v>
      </c>
      <c r="G119" s="21">
        <f>[1]Школы!CG41+[1]Школы!CH41</f>
        <v>31499111.880000006</v>
      </c>
      <c r="H119" s="21">
        <f>[1]Школы!CI41</f>
        <v>1217700</v>
      </c>
      <c r="I119" s="21">
        <f>[1]Школы!CJ41</f>
        <v>83160</v>
      </c>
    </row>
    <row r="120" spans="1:11" ht="25.5" x14ac:dyDescent="0.2">
      <c r="A120" s="24" t="s">
        <v>85</v>
      </c>
      <c r="B120" s="22"/>
      <c r="C120" s="25" t="s">
        <v>109</v>
      </c>
      <c r="D120" s="22" t="s">
        <v>20</v>
      </c>
      <c r="E120" s="22" t="s">
        <v>122</v>
      </c>
      <c r="F120" s="23">
        <v>110</v>
      </c>
      <c r="G120" s="26">
        <f>SUM('[1]Свод образ'!AH12:AH14)+1697552</f>
        <v>23518417.127</v>
      </c>
      <c r="H120" s="16">
        <f>G120</f>
        <v>23518417.127</v>
      </c>
      <c r="I120" s="16">
        <f>G120</f>
        <v>23518417.127</v>
      </c>
    </row>
    <row r="121" spans="1:11" ht="25.5" x14ac:dyDescent="0.2">
      <c r="A121" s="17" t="s">
        <v>123</v>
      </c>
      <c r="B121" s="18" t="s">
        <v>107</v>
      </c>
      <c r="C121" s="19" t="s">
        <v>109</v>
      </c>
      <c r="D121" s="18" t="s">
        <v>20</v>
      </c>
      <c r="E121" s="18"/>
      <c r="F121" s="20">
        <v>110</v>
      </c>
      <c r="G121" s="21">
        <f>G122</f>
        <v>35688077.795999989</v>
      </c>
      <c r="H121" s="21">
        <f>H122</f>
        <v>35688077.795999989</v>
      </c>
      <c r="I121" s="21">
        <f>I122</f>
        <v>35688077.795999989</v>
      </c>
    </row>
    <row r="122" spans="1:11" ht="25.5" x14ac:dyDescent="0.2">
      <c r="A122" s="24" t="s">
        <v>85</v>
      </c>
      <c r="B122" s="22"/>
      <c r="C122" s="25" t="s">
        <v>109</v>
      </c>
      <c r="D122" s="22" t="s">
        <v>20</v>
      </c>
      <c r="E122" s="22" t="s">
        <v>124</v>
      </c>
      <c r="F122" s="23">
        <v>110</v>
      </c>
      <c r="G122" s="26">
        <f>'[1]прил №16 классное руководство'!D44</f>
        <v>35688077.795999989</v>
      </c>
      <c r="H122" s="26">
        <f>'[1]прил №16 классное руководство'!G44</f>
        <v>35688077.795999989</v>
      </c>
      <c r="I122" s="26">
        <f>'[1]прил №16 классное руководство'!H44</f>
        <v>35688077.795999989</v>
      </c>
    </row>
    <row r="123" spans="1:11" ht="25.5" x14ac:dyDescent="0.2">
      <c r="A123" s="24" t="s">
        <v>25</v>
      </c>
      <c r="B123" s="22"/>
      <c r="C123" s="25" t="s">
        <v>109</v>
      </c>
      <c r="D123" s="22" t="s">
        <v>20</v>
      </c>
      <c r="E123" s="22" t="s">
        <v>122</v>
      </c>
      <c r="F123" s="23">
        <v>240</v>
      </c>
      <c r="G123" s="26">
        <f>'[1]Свод образ'!AI15-G118-G119-1697694</f>
        <v>19693417.543999981</v>
      </c>
      <c r="H123" s="16">
        <v>28487678</v>
      </c>
      <c r="I123" s="16">
        <v>30174001</v>
      </c>
    </row>
    <row r="124" spans="1:11" x14ac:dyDescent="0.2">
      <c r="A124" s="24" t="s">
        <v>34</v>
      </c>
      <c r="B124" s="22"/>
      <c r="C124" s="25" t="s">
        <v>109</v>
      </c>
      <c r="D124" s="22" t="s">
        <v>20</v>
      </c>
      <c r="E124" s="22" t="s">
        <v>122</v>
      </c>
      <c r="F124" s="23">
        <v>850</v>
      </c>
      <c r="G124" s="26">
        <f>'[1]Свод образ'!AJ15-7511</f>
        <v>5918097.898000001</v>
      </c>
      <c r="H124" s="16">
        <f>G124</f>
        <v>5918097.898000001</v>
      </c>
      <c r="I124" s="16">
        <f>G124</f>
        <v>5918097.898000001</v>
      </c>
    </row>
    <row r="125" spans="1:11" ht="25.5" x14ac:dyDescent="0.2">
      <c r="A125" s="24" t="s">
        <v>58</v>
      </c>
      <c r="B125" s="22" t="s">
        <v>14</v>
      </c>
      <c r="C125" s="25" t="s">
        <v>109</v>
      </c>
      <c r="D125" s="22" t="s">
        <v>20</v>
      </c>
      <c r="E125" s="22" t="s">
        <v>122</v>
      </c>
      <c r="F125" s="23">
        <v>400</v>
      </c>
      <c r="G125" s="26">
        <f>'[1]Свод образ'!AK15</f>
        <v>1445000</v>
      </c>
      <c r="H125" s="16">
        <f>G125</f>
        <v>1445000</v>
      </c>
      <c r="I125" s="16"/>
    </row>
    <row r="126" spans="1:11" x14ac:dyDescent="0.2">
      <c r="A126" s="34" t="s">
        <v>125</v>
      </c>
      <c r="B126" s="35" t="s">
        <v>107</v>
      </c>
      <c r="C126" s="36" t="s">
        <v>109</v>
      </c>
      <c r="D126" s="35" t="s">
        <v>27</v>
      </c>
      <c r="E126" s="22"/>
      <c r="F126" s="23"/>
      <c r="G126" s="37">
        <f>SUM(G127,G132)</f>
        <v>78764830</v>
      </c>
      <c r="H126" s="37">
        <f>SUM(H127,H132)</f>
        <v>77121451</v>
      </c>
      <c r="I126" s="37">
        <f>SUM(I127,I132)</f>
        <v>77121451</v>
      </c>
    </row>
    <row r="127" spans="1:11" x14ac:dyDescent="0.2">
      <c r="A127" s="38" t="s">
        <v>126</v>
      </c>
      <c r="B127" s="39" t="s">
        <v>107</v>
      </c>
      <c r="C127" s="36" t="s">
        <v>109</v>
      </c>
      <c r="D127" s="35" t="s">
        <v>27</v>
      </c>
      <c r="E127" s="35" t="s">
        <v>127</v>
      </c>
      <c r="F127" s="36" t="s">
        <v>23</v>
      </c>
      <c r="G127" s="21">
        <f>SUM(G128:G131)</f>
        <v>2870000</v>
      </c>
      <c r="H127" s="21">
        <f>SUM(H128:H131)</f>
        <v>2870000</v>
      </c>
      <c r="I127" s="21">
        <f>SUM(I128:I131)</f>
        <v>2870000</v>
      </c>
    </row>
    <row r="128" spans="1:11" ht="25.5" x14ac:dyDescent="0.2">
      <c r="A128" s="24" t="s">
        <v>85</v>
      </c>
      <c r="B128" s="18"/>
      <c r="C128" s="25" t="s">
        <v>109</v>
      </c>
      <c r="D128" s="22" t="s">
        <v>27</v>
      </c>
      <c r="E128" s="22" t="s">
        <v>128</v>
      </c>
      <c r="F128" s="23">
        <v>110</v>
      </c>
      <c r="G128" s="21">
        <f>'[1]Свод образ'!AH23</f>
        <v>0</v>
      </c>
      <c r="H128" s="21">
        <f>'[1]Свод образ'!AH23</f>
        <v>0</v>
      </c>
      <c r="I128" s="21">
        <f>'[1]Свод образ'!AH23</f>
        <v>0</v>
      </c>
    </row>
    <row r="129" spans="1:12" ht="25.5" x14ac:dyDescent="0.2">
      <c r="A129" s="24" t="s">
        <v>25</v>
      </c>
      <c r="B129" s="18"/>
      <c r="C129" s="25" t="s">
        <v>109</v>
      </c>
      <c r="D129" s="22" t="s">
        <v>27</v>
      </c>
      <c r="E129" s="22" t="s">
        <v>128</v>
      </c>
      <c r="F129" s="23">
        <v>240</v>
      </c>
      <c r="G129" s="21">
        <f>'[1]Свод образ'!AI23</f>
        <v>2870000</v>
      </c>
      <c r="H129" s="21">
        <f>G129</f>
        <v>2870000</v>
      </c>
      <c r="I129" s="21">
        <f>G129</f>
        <v>2870000</v>
      </c>
      <c r="L129" s="3" t="s">
        <v>15</v>
      </c>
    </row>
    <row r="130" spans="1:12" x14ac:dyDescent="0.2">
      <c r="A130" s="24" t="s">
        <v>34</v>
      </c>
      <c r="B130" s="18"/>
      <c r="C130" s="25" t="s">
        <v>109</v>
      </c>
      <c r="D130" s="22" t="s">
        <v>27</v>
      </c>
      <c r="E130" s="22" t="s">
        <v>128</v>
      </c>
      <c r="F130" s="23">
        <v>850</v>
      </c>
      <c r="G130" s="26">
        <f>'[1]Свод образ'!AJ23</f>
        <v>0</v>
      </c>
      <c r="H130" s="21">
        <f>G130</f>
        <v>0</v>
      </c>
      <c r="I130" s="21">
        <f>G130</f>
        <v>0</v>
      </c>
    </row>
    <row r="131" spans="1:12" ht="25.5" x14ac:dyDescent="0.2">
      <c r="A131" s="24" t="s">
        <v>58</v>
      </c>
      <c r="B131" s="18" t="s">
        <v>14</v>
      </c>
      <c r="C131" s="25" t="s">
        <v>109</v>
      </c>
      <c r="D131" s="22" t="s">
        <v>27</v>
      </c>
      <c r="E131" s="22" t="s">
        <v>128</v>
      </c>
      <c r="F131" s="23">
        <v>400</v>
      </c>
      <c r="G131" s="26">
        <f>'[1]Свод образ'!AK23</f>
        <v>0</v>
      </c>
      <c r="H131" s="16">
        <v>0</v>
      </c>
      <c r="I131" s="16">
        <v>0</v>
      </c>
      <c r="L131" s="3" t="s">
        <v>15</v>
      </c>
    </row>
    <row r="132" spans="1:12" x14ac:dyDescent="0.2">
      <c r="A132" s="17" t="s">
        <v>129</v>
      </c>
      <c r="B132" s="18" t="s">
        <v>107</v>
      </c>
      <c r="C132" s="36" t="s">
        <v>109</v>
      </c>
      <c r="D132" s="35" t="s">
        <v>27</v>
      </c>
      <c r="E132" s="35" t="s">
        <v>128</v>
      </c>
      <c r="F132" s="36" t="s">
        <v>23</v>
      </c>
      <c r="G132" s="37">
        <f>SUM(G133:G135)</f>
        <v>75894830</v>
      </c>
      <c r="H132" s="37">
        <f>SUM(H133:H135)</f>
        <v>74251451</v>
      </c>
      <c r="I132" s="37">
        <f>SUM(I133:I135)</f>
        <v>74251451</v>
      </c>
    </row>
    <row r="133" spans="1:12" ht="25.5" x14ac:dyDescent="0.2">
      <c r="A133" s="27" t="s">
        <v>68</v>
      </c>
      <c r="B133" s="18" t="s">
        <v>107</v>
      </c>
      <c r="C133" s="25" t="s">
        <v>109</v>
      </c>
      <c r="D133" s="22" t="s">
        <v>27</v>
      </c>
      <c r="E133" s="22" t="s">
        <v>128</v>
      </c>
      <c r="F133" s="23">
        <v>611</v>
      </c>
      <c r="G133" s="26">
        <f>'[1]Внешколь учр МБУ'!AN55</f>
        <v>65719195</v>
      </c>
      <c r="H133" s="26">
        <v>64075816</v>
      </c>
      <c r="I133" s="26">
        <f>H133</f>
        <v>64075816</v>
      </c>
    </row>
    <row r="134" spans="1:12" x14ac:dyDescent="0.2">
      <c r="A134" s="24" t="s">
        <v>70</v>
      </c>
      <c r="B134" s="18" t="s">
        <v>107</v>
      </c>
      <c r="C134" s="25" t="s">
        <v>109</v>
      </c>
      <c r="D134" s="22" t="s">
        <v>27</v>
      </c>
      <c r="E134" s="22" t="s">
        <v>128</v>
      </c>
      <c r="F134" s="23">
        <v>612</v>
      </c>
      <c r="G134" s="26">
        <f>'[1]Внешколь учр МБУ'!U57</f>
        <v>800000</v>
      </c>
      <c r="H134" s="26">
        <f>G134</f>
        <v>800000</v>
      </c>
      <c r="I134" s="26">
        <f>H134</f>
        <v>800000</v>
      </c>
    </row>
    <row r="135" spans="1:12" x14ac:dyDescent="0.2">
      <c r="A135" s="24" t="s">
        <v>130</v>
      </c>
      <c r="B135" s="18"/>
      <c r="C135" s="25" t="s">
        <v>109</v>
      </c>
      <c r="D135" s="22" t="s">
        <v>27</v>
      </c>
      <c r="E135" s="22" t="s">
        <v>131</v>
      </c>
      <c r="F135" s="23">
        <v>611</v>
      </c>
      <c r="G135" s="26">
        <f>'[1]Внешколь учр МБУ'!AN59+'[1]Внешколь учр МБУ'!AN54</f>
        <v>9375635</v>
      </c>
      <c r="H135" s="26">
        <f>G135</f>
        <v>9375635</v>
      </c>
      <c r="I135" s="26">
        <f>H135</f>
        <v>9375635</v>
      </c>
    </row>
    <row r="136" spans="1:12" x14ac:dyDescent="0.2">
      <c r="A136" s="17" t="s">
        <v>132</v>
      </c>
      <c r="B136" s="22" t="s">
        <v>14</v>
      </c>
      <c r="C136" s="19" t="s">
        <v>109</v>
      </c>
      <c r="D136" s="18" t="s">
        <v>109</v>
      </c>
      <c r="E136" s="40" t="s">
        <v>15</v>
      </c>
      <c r="F136" s="23"/>
      <c r="G136" s="21">
        <f>SUM(G137)</f>
        <v>0</v>
      </c>
      <c r="H136" s="21">
        <f>SUM(H137)</f>
        <v>0</v>
      </c>
      <c r="I136" s="21">
        <f>SUM(I137)</f>
        <v>0</v>
      </c>
    </row>
    <row r="137" spans="1:12" x14ac:dyDescent="0.2">
      <c r="A137" s="17" t="s">
        <v>133</v>
      </c>
      <c r="B137" s="22" t="s">
        <v>14</v>
      </c>
      <c r="C137" s="19" t="s">
        <v>109</v>
      </c>
      <c r="D137" s="18" t="s">
        <v>109</v>
      </c>
      <c r="E137" s="18" t="s">
        <v>134</v>
      </c>
      <c r="F137" s="20"/>
      <c r="G137" s="21">
        <f>G138</f>
        <v>0</v>
      </c>
      <c r="H137" s="21">
        <f>H138</f>
        <v>0</v>
      </c>
      <c r="I137" s="21">
        <f>I138</f>
        <v>0</v>
      </c>
    </row>
    <row r="138" spans="1:12" ht="25.5" x14ac:dyDescent="0.2">
      <c r="A138" s="24" t="s">
        <v>25</v>
      </c>
      <c r="B138" s="22"/>
      <c r="C138" s="25" t="s">
        <v>109</v>
      </c>
      <c r="D138" s="22" t="s">
        <v>109</v>
      </c>
      <c r="E138" s="22" t="s">
        <v>134</v>
      </c>
      <c r="F138" s="23">
        <v>240</v>
      </c>
      <c r="G138" s="26">
        <f>'[1]Свод образ'!AI25</f>
        <v>0</v>
      </c>
      <c r="H138" s="16">
        <f>G138</f>
        <v>0</v>
      </c>
      <c r="I138" s="16">
        <f>H138</f>
        <v>0</v>
      </c>
    </row>
    <row r="139" spans="1:12" x14ac:dyDescent="0.2">
      <c r="A139" s="17" t="s">
        <v>135</v>
      </c>
      <c r="B139" s="22" t="s">
        <v>107</v>
      </c>
      <c r="C139" s="19" t="s">
        <v>109</v>
      </c>
      <c r="D139" s="18" t="s">
        <v>76</v>
      </c>
      <c r="E139" s="18" t="s">
        <v>15</v>
      </c>
      <c r="F139" s="20"/>
      <c r="G139" s="21">
        <f>SUM(G140,G144)</f>
        <v>9812821.2060400005</v>
      </c>
      <c r="H139" s="21">
        <f>SUM(H140,H144)</f>
        <v>9812821.2060400005</v>
      </c>
      <c r="I139" s="21">
        <f>SUM(I140,I144)</f>
        <v>9812821.2060400005</v>
      </c>
    </row>
    <row r="140" spans="1:12" x14ac:dyDescent="0.2">
      <c r="A140" s="14" t="s">
        <v>136</v>
      </c>
      <c r="B140" s="22" t="s">
        <v>107</v>
      </c>
      <c r="C140" s="19" t="s">
        <v>109</v>
      </c>
      <c r="D140" s="18" t="s">
        <v>76</v>
      </c>
      <c r="E140" s="18" t="s">
        <v>33</v>
      </c>
      <c r="F140" s="19" t="s">
        <v>23</v>
      </c>
      <c r="G140" s="21">
        <f>SUM(G141:G143)</f>
        <v>2682355.3880400001</v>
      </c>
      <c r="H140" s="21">
        <f>SUM(H141:H143)</f>
        <v>2682355.3880400001</v>
      </c>
      <c r="I140" s="21">
        <f>SUM(I141:I143)</f>
        <v>2682355.3880400001</v>
      </c>
    </row>
    <row r="141" spans="1:12" ht="25.5" x14ac:dyDescent="0.2">
      <c r="A141" s="24" t="s">
        <v>24</v>
      </c>
      <c r="B141" s="22"/>
      <c r="C141" s="25" t="s">
        <v>109</v>
      </c>
      <c r="D141" s="22" t="s">
        <v>76</v>
      </c>
      <c r="E141" s="22" t="s">
        <v>33</v>
      </c>
      <c r="F141" s="23">
        <v>120</v>
      </c>
      <c r="G141" s="26">
        <f>'[1]Свод образ'!AH24</f>
        <v>2433211.9438399998</v>
      </c>
      <c r="H141" s="16">
        <f>G141</f>
        <v>2433211.9438399998</v>
      </c>
      <c r="I141" s="16">
        <f>G141</f>
        <v>2433211.9438399998</v>
      </c>
    </row>
    <row r="142" spans="1:12" ht="25.5" x14ac:dyDescent="0.2">
      <c r="A142" s="24" t="s">
        <v>25</v>
      </c>
      <c r="B142" s="22"/>
      <c r="C142" s="25" t="s">
        <v>109</v>
      </c>
      <c r="D142" s="22" t="s">
        <v>76</v>
      </c>
      <c r="E142" s="22" t="s">
        <v>33</v>
      </c>
      <c r="F142" s="23">
        <v>240</v>
      </c>
      <c r="G142" s="26">
        <f>'[1]Свод образ'!AI24-2371</f>
        <v>249143.44420000026</v>
      </c>
      <c r="H142" s="16">
        <f>G142</f>
        <v>249143.44420000026</v>
      </c>
      <c r="I142" s="16">
        <f>G142</f>
        <v>249143.44420000026</v>
      </c>
    </row>
    <row r="143" spans="1:12" x14ac:dyDescent="0.2">
      <c r="A143" s="24" t="s">
        <v>34</v>
      </c>
      <c r="B143" s="22"/>
      <c r="C143" s="25" t="s">
        <v>109</v>
      </c>
      <c r="D143" s="22" t="s">
        <v>76</v>
      </c>
      <c r="E143" s="22" t="s">
        <v>33</v>
      </c>
      <c r="F143" s="23">
        <v>850</v>
      </c>
      <c r="G143" s="26">
        <f>'[1]Свод образ'!AJ24</f>
        <v>0</v>
      </c>
      <c r="H143" s="16">
        <f>G143</f>
        <v>0</v>
      </c>
      <c r="I143" s="16">
        <f>G143</f>
        <v>0</v>
      </c>
    </row>
    <row r="144" spans="1:12" ht="25.5" x14ac:dyDescent="0.2">
      <c r="A144" s="41" t="s">
        <v>137</v>
      </c>
      <c r="B144" s="22" t="s">
        <v>107</v>
      </c>
      <c r="C144" s="19" t="s">
        <v>109</v>
      </c>
      <c r="D144" s="18" t="s">
        <v>76</v>
      </c>
      <c r="E144" s="18" t="s">
        <v>138</v>
      </c>
      <c r="F144" s="25" t="s">
        <v>23</v>
      </c>
      <c r="G144" s="21">
        <f>SUM(G145:G146:G147)</f>
        <v>7130465.818</v>
      </c>
      <c r="H144" s="21">
        <f>SUM(H145:H146:H147)</f>
        <v>7130465.818</v>
      </c>
      <c r="I144" s="21">
        <f>SUM(I145:I146:I147)</f>
        <v>7130465.818</v>
      </c>
    </row>
    <row r="145" spans="1:13" ht="25.5" x14ac:dyDescent="0.2">
      <c r="A145" s="24" t="s">
        <v>85</v>
      </c>
      <c r="B145" s="22" t="s">
        <v>15</v>
      </c>
      <c r="C145" s="25" t="s">
        <v>109</v>
      </c>
      <c r="D145" s="22" t="s">
        <v>76</v>
      </c>
      <c r="E145" s="22" t="s">
        <v>138</v>
      </c>
      <c r="F145" s="23">
        <v>110</v>
      </c>
      <c r="G145" s="26">
        <f>'[1]Свод образ'!AH22+270000</f>
        <v>6201277.8159999996</v>
      </c>
      <c r="H145" s="16">
        <f t="shared" ref="H145:I147" si="6">G145</f>
        <v>6201277.8159999996</v>
      </c>
      <c r="I145" s="16">
        <f t="shared" si="6"/>
        <v>6201277.8159999996</v>
      </c>
    </row>
    <row r="146" spans="1:13" ht="25.5" x14ac:dyDescent="0.2">
      <c r="A146" s="24" t="s">
        <v>25</v>
      </c>
      <c r="B146" s="22"/>
      <c r="C146" s="25" t="s">
        <v>109</v>
      </c>
      <c r="D146" s="22" t="s">
        <v>76</v>
      </c>
      <c r="E146" s="22" t="s">
        <v>138</v>
      </c>
      <c r="F146" s="23">
        <v>240</v>
      </c>
      <c r="G146" s="26">
        <f>'[1]Свод образ'!AI22-201096</f>
        <v>859940.00200000033</v>
      </c>
      <c r="H146" s="16">
        <f t="shared" si="6"/>
        <v>859940.00200000033</v>
      </c>
      <c r="I146" s="16">
        <f t="shared" si="6"/>
        <v>859940.00200000033</v>
      </c>
    </row>
    <row r="147" spans="1:13" x14ac:dyDescent="0.2">
      <c r="A147" s="24" t="s">
        <v>34</v>
      </c>
      <c r="B147" s="22"/>
      <c r="C147" s="25" t="s">
        <v>109</v>
      </c>
      <c r="D147" s="22" t="s">
        <v>76</v>
      </c>
      <c r="E147" s="22" t="s">
        <v>138</v>
      </c>
      <c r="F147" s="23">
        <v>850</v>
      </c>
      <c r="G147" s="26">
        <f>'[1]Свод образ'!AJ22-66532</f>
        <v>69248</v>
      </c>
      <c r="H147" s="16">
        <f t="shared" si="6"/>
        <v>69248</v>
      </c>
      <c r="I147" s="16">
        <f t="shared" si="6"/>
        <v>69248</v>
      </c>
    </row>
    <row r="148" spans="1:13" ht="25.5" x14ac:dyDescent="0.2">
      <c r="A148" s="42" t="s">
        <v>139</v>
      </c>
      <c r="B148" s="18" t="s">
        <v>140</v>
      </c>
      <c r="C148" s="25"/>
      <c r="D148" s="22"/>
      <c r="E148" s="18" t="s">
        <v>141</v>
      </c>
      <c r="F148" s="23"/>
      <c r="G148" s="26"/>
      <c r="H148" s="16"/>
      <c r="I148" s="16"/>
    </row>
    <row r="149" spans="1:13" x14ac:dyDescent="0.2">
      <c r="A149" s="43" t="s">
        <v>142</v>
      </c>
      <c r="B149" s="18" t="s">
        <v>140</v>
      </c>
      <c r="C149" s="19" t="s">
        <v>143</v>
      </c>
      <c r="D149" s="18" t="s">
        <v>18</v>
      </c>
      <c r="E149" s="18" t="s">
        <v>141</v>
      </c>
      <c r="F149" s="20"/>
      <c r="G149" s="21">
        <f>G150</f>
        <v>30089013.8116</v>
      </c>
      <c r="H149" s="21">
        <f>H150</f>
        <v>30089013.8116</v>
      </c>
      <c r="I149" s="21">
        <f>I150</f>
        <v>30089013.8116</v>
      </c>
    </row>
    <row r="150" spans="1:13" x14ac:dyDescent="0.2">
      <c r="A150" s="43" t="s">
        <v>144</v>
      </c>
      <c r="B150" s="18" t="s">
        <v>140</v>
      </c>
      <c r="C150" s="19" t="s">
        <v>143</v>
      </c>
      <c r="D150" s="18" t="s">
        <v>17</v>
      </c>
      <c r="E150" s="18" t="s">
        <v>141</v>
      </c>
      <c r="F150" s="20"/>
      <c r="G150" s="21">
        <f>G151+G156+G160</f>
        <v>30089013.8116</v>
      </c>
      <c r="H150" s="21">
        <f t="shared" ref="H150:I150" si="7">H151+H156+H160</f>
        <v>30089013.8116</v>
      </c>
      <c r="I150" s="21">
        <f t="shared" si="7"/>
        <v>30089013.8116</v>
      </c>
    </row>
    <row r="151" spans="1:13" x14ac:dyDescent="0.2">
      <c r="A151" s="43" t="s">
        <v>145</v>
      </c>
      <c r="B151" s="18" t="s">
        <v>140</v>
      </c>
      <c r="C151" s="19" t="s">
        <v>143</v>
      </c>
      <c r="D151" s="18" t="s">
        <v>17</v>
      </c>
      <c r="E151" s="18" t="s">
        <v>146</v>
      </c>
      <c r="F151" s="25" t="s">
        <v>23</v>
      </c>
      <c r="G151" s="21">
        <f>SUM(G152:G155)</f>
        <v>14932675.354800001</v>
      </c>
      <c r="H151" s="21">
        <f>SUM(H152:H155)</f>
        <v>14932675.354800001</v>
      </c>
      <c r="I151" s="21">
        <f>SUM(I152:I155)</f>
        <v>14932675.354800001</v>
      </c>
    </row>
    <row r="152" spans="1:13" ht="25.5" x14ac:dyDescent="0.2">
      <c r="A152" s="24" t="s">
        <v>85</v>
      </c>
      <c r="B152" s="22" t="s">
        <v>140</v>
      </c>
      <c r="C152" s="25" t="s">
        <v>143</v>
      </c>
      <c r="D152" s="22" t="s">
        <v>17</v>
      </c>
      <c r="E152" s="22" t="s">
        <v>146</v>
      </c>
      <c r="F152" s="23">
        <v>110</v>
      </c>
      <c r="G152" s="26">
        <f>'[1]Свод культ'!AI7+89000</f>
        <v>12477511.244800001</v>
      </c>
      <c r="H152" s="16">
        <f>G152</f>
        <v>12477511.244800001</v>
      </c>
      <c r="I152" s="16">
        <f>G152</f>
        <v>12477511.244800001</v>
      </c>
      <c r="M152" s="3" t="s">
        <v>15</v>
      </c>
    </row>
    <row r="153" spans="1:13" ht="25.5" x14ac:dyDescent="0.2">
      <c r="A153" s="24" t="s">
        <v>25</v>
      </c>
      <c r="B153" s="22"/>
      <c r="C153" s="25" t="s">
        <v>143</v>
      </c>
      <c r="D153" s="22" t="s">
        <v>17</v>
      </c>
      <c r="E153" s="22" t="s">
        <v>146</v>
      </c>
      <c r="F153" s="23">
        <v>240</v>
      </c>
      <c r="G153" s="26">
        <f>'[1]Свод культ'!AJ7-9000</f>
        <v>2249045.2599999993</v>
      </c>
      <c r="H153" s="16">
        <f>G153</f>
        <v>2249045.2599999993</v>
      </c>
      <c r="I153" s="16">
        <f>G153</f>
        <v>2249045.2599999993</v>
      </c>
    </row>
    <row r="154" spans="1:13" ht="25.5" x14ac:dyDescent="0.2">
      <c r="A154" s="24" t="s">
        <v>58</v>
      </c>
      <c r="B154" s="22"/>
      <c r="C154" s="25" t="s">
        <v>143</v>
      </c>
      <c r="D154" s="22" t="s">
        <v>17</v>
      </c>
      <c r="E154" s="22" t="s">
        <v>146</v>
      </c>
      <c r="F154" s="23">
        <v>400</v>
      </c>
      <c r="G154" s="26">
        <f>'[1]Свод культ'!AM13</f>
        <v>170000</v>
      </c>
      <c r="H154" s="16">
        <f>G154</f>
        <v>170000</v>
      </c>
      <c r="I154" s="16">
        <f>G154</f>
        <v>170000</v>
      </c>
    </row>
    <row r="155" spans="1:13" x14ac:dyDescent="0.2">
      <c r="A155" s="24" t="s">
        <v>34</v>
      </c>
      <c r="B155" s="22"/>
      <c r="C155" s="25" t="s">
        <v>143</v>
      </c>
      <c r="D155" s="22" t="s">
        <v>17</v>
      </c>
      <c r="E155" s="22" t="s">
        <v>146</v>
      </c>
      <c r="F155" s="23">
        <v>850</v>
      </c>
      <c r="G155" s="26">
        <f>'[1]Свод культ'!AL7-80000</f>
        <v>36118.850000000006</v>
      </c>
      <c r="H155" s="16">
        <f>G155</f>
        <v>36118.850000000006</v>
      </c>
      <c r="I155" s="16">
        <f>G155</f>
        <v>36118.850000000006</v>
      </c>
    </row>
    <row r="156" spans="1:13" ht="25.5" x14ac:dyDescent="0.2">
      <c r="A156" s="44" t="s">
        <v>147</v>
      </c>
      <c r="B156" s="18" t="s">
        <v>140</v>
      </c>
      <c r="C156" s="19" t="s">
        <v>143</v>
      </c>
      <c r="D156" s="18" t="s">
        <v>17</v>
      </c>
      <c r="E156" s="18" t="s">
        <v>148</v>
      </c>
      <c r="F156" s="20"/>
      <c r="G156" s="21">
        <f>SUM(G157:G159)</f>
        <v>12590096.378800001</v>
      </c>
      <c r="H156" s="21">
        <f>SUM(H157:H159)</f>
        <v>12590096.378800001</v>
      </c>
      <c r="I156" s="21">
        <f>SUM(I157:I159)</f>
        <v>12590096.378800001</v>
      </c>
    </row>
    <row r="157" spans="1:13" ht="25.5" x14ac:dyDescent="0.2">
      <c r="A157" s="24" t="s">
        <v>85</v>
      </c>
      <c r="B157" s="22" t="s">
        <v>15</v>
      </c>
      <c r="C157" s="25" t="s">
        <v>143</v>
      </c>
      <c r="D157" s="22" t="s">
        <v>17</v>
      </c>
      <c r="E157" s="22" t="s">
        <v>148</v>
      </c>
      <c r="F157" s="23">
        <v>110</v>
      </c>
      <c r="G157" s="26">
        <f>'[1]Свод культ'!AI11+'[1]Свод культ'!AI12+36001</f>
        <v>12275721.628800001</v>
      </c>
      <c r="H157" s="16">
        <f t="shared" ref="H157:I159" si="8">G157</f>
        <v>12275721.628800001</v>
      </c>
      <c r="I157" s="16">
        <f t="shared" si="8"/>
        <v>12275721.628800001</v>
      </c>
    </row>
    <row r="158" spans="1:13" ht="25.5" x14ac:dyDescent="0.2">
      <c r="A158" s="24" t="s">
        <v>25</v>
      </c>
      <c r="B158" s="22" t="s">
        <v>15</v>
      </c>
      <c r="C158" s="25" t="s">
        <v>143</v>
      </c>
      <c r="D158" s="22" t="s">
        <v>17</v>
      </c>
      <c r="E158" s="22" t="s">
        <v>148</v>
      </c>
      <c r="F158" s="23">
        <v>240</v>
      </c>
      <c r="G158" s="26">
        <f>'[1]Свод культ'!AJ11+'[1]Свод культ'!AJ12+32000</f>
        <v>279099.5</v>
      </c>
      <c r="H158" s="16">
        <f t="shared" si="8"/>
        <v>279099.5</v>
      </c>
      <c r="I158" s="16">
        <f t="shared" si="8"/>
        <v>279099.5</v>
      </c>
    </row>
    <row r="159" spans="1:13" x14ac:dyDescent="0.2">
      <c r="A159" s="24" t="s">
        <v>34</v>
      </c>
      <c r="B159" s="22" t="s">
        <v>15</v>
      </c>
      <c r="C159" s="25" t="s">
        <v>143</v>
      </c>
      <c r="D159" s="22" t="s">
        <v>17</v>
      </c>
      <c r="E159" s="22" t="s">
        <v>148</v>
      </c>
      <c r="F159" s="23">
        <v>850</v>
      </c>
      <c r="G159" s="26">
        <f>'[1]Свод культ'!AL11+'[1]Свод культ'!AL12-68000</f>
        <v>35275.25</v>
      </c>
      <c r="H159" s="16">
        <f t="shared" si="8"/>
        <v>35275.25</v>
      </c>
      <c r="I159" s="16">
        <f t="shared" si="8"/>
        <v>35275.25</v>
      </c>
    </row>
    <row r="160" spans="1:13" ht="25.5" x14ac:dyDescent="0.2">
      <c r="A160" s="14" t="s">
        <v>149</v>
      </c>
      <c r="B160" s="18" t="s">
        <v>140</v>
      </c>
      <c r="C160" s="19" t="s">
        <v>143</v>
      </c>
      <c r="D160" s="18" t="s">
        <v>17</v>
      </c>
      <c r="E160" s="18" t="s">
        <v>150</v>
      </c>
      <c r="F160" s="20"/>
      <c r="G160" s="21">
        <f>G161+G162</f>
        <v>2566242.0779999997</v>
      </c>
      <c r="H160" s="21">
        <f t="shared" ref="H160:I160" si="9">H161+H162</f>
        <v>2566242.0779999997</v>
      </c>
      <c r="I160" s="21">
        <f t="shared" si="9"/>
        <v>2566242.0779999997</v>
      </c>
    </row>
    <row r="161" spans="1:11" ht="25.5" x14ac:dyDescent="0.2">
      <c r="A161" s="24" t="s">
        <v>85</v>
      </c>
      <c r="B161" s="22"/>
      <c r="C161" s="25" t="s">
        <v>143</v>
      </c>
      <c r="D161" s="22" t="s">
        <v>17</v>
      </c>
      <c r="E161" s="22" t="s">
        <v>150</v>
      </c>
      <c r="F161" s="23">
        <v>110</v>
      </c>
      <c r="G161" s="26">
        <f>'[1]МКУ "Истор краев музей" АМР '!AC7</f>
        <v>1975178.2679999999</v>
      </c>
      <c r="H161" s="16">
        <f>G161</f>
        <v>1975178.2679999999</v>
      </c>
      <c r="I161" s="16">
        <f>G161</f>
        <v>1975178.2679999999</v>
      </c>
    </row>
    <row r="162" spans="1:11" ht="25.5" x14ac:dyDescent="0.2">
      <c r="A162" s="24" t="s">
        <v>25</v>
      </c>
      <c r="B162" s="22"/>
      <c r="C162" s="25" t="s">
        <v>143</v>
      </c>
      <c r="D162" s="22" t="s">
        <v>17</v>
      </c>
      <c r="E162" s="22" t="s">
        <v>150</v>
      </c>
      <c r="F162" s="23">
        <v>240</v>
      </c>
      <c r="G162" s="26">
        <f>'[1]МКУ "Истор краев музей" АМР '!AD7</f>
        <v>591063.80999999982</v>
      </c>
      <c r="H162" s="16">
        <f>G162</f>
        <v>591063.80999999982</v>
      </c>
      <c r="I162" s="16">
        <f>H162</f>
        <v>591063.80999999982</v>
      </c>
    </row>
    <row r="163" spans="1:11" x14ac:dyDescent="0.2">
      <c r="A163" s="17" t="s">
        <v>151</v>
      </c>
      <c r="B163" s="18" t="s">
        <v>23</v>
      </c>
      <c r="C163" s="19" t="s">
        <v>152</v>
      </c>
      <c r="D163" s="18" t="s">
        <v>18</v>
      </c>
      <c r="E163" s="18" t="s">
        <v>153</v>
      </c>
      <c r="F163" s="20"/>
      <c r="G163" s="21">
        <f>SUM(G164,G167,G171,G177)</f>
        <v>8240196</v>
      </c>
      <c r="H163" s="21">
        <f>SUM(H164,H167,H171,H177)</f>
        <v>8008354</v>
      </c>
      <c r="I163" s="21">
        <f>SUM(I164,I167,I171,I177)</f>
        <v>8008354</v>
      </c>
    </row>
    <row r="164" spans="1:11" x14ac:dyDescent="0.2">
      <c r="A164" s="17" t="s">
        <v>154</v>
      </c>
      <c r="B164" s="18" t="s">
        <v>14</v>
      </c>
      <c r="C164" s="19" t="s">
        <v>152</v>
      </c>
      <c r="D164" s="18" t="s">
        <v>17</v>
      </c>
      <c r="E164" s="18" t="s">
        <v>153</v>
      </c>
      <c r="F164" s="20"/>
      <c r="G164" s="21">
        <f t="shared" ref="G164:I165" si="10">G165</f>
        <v>2297796</v>
      </c>
      <c r="H164" s="21">
        <f t="shared" si="10"/>
        <v>2297796</v>
      </c>
      <c r="I164" s="21">
        <f t="shared" si="10"/>
        <v>2297796</v>
      </c>
    </row>
    <row r="165" spans="1:11" x14ac:dyDescent="0.2">
      <c r="A165" s="17" t="s">
        <v>155</v>
      </c>
      <c r="B165" s="22" t="s">
        <v>14</v>
      </c>
      <c r="C165" s="25" t="s">
        <v>152</v>
      </c>
      <c r="D165" s="22" t="s">
        <v>17</v>
      </c>
      <c r="E165" s="22" t="s">
        <v>156</v>
      </c>
      <c r="F165" s="23"/>
      <c r="G165" s="21">
        <f t="shared" si="10"/>
        <v>2297796</v>
      </c>
      <c r="H165" s="21">
        <f t="shared" si="10"/>
        <v>2297796</v>
      </c>
      <c r="I165" s="21">
        <f t="shared" si="10"/>
        <v>2297796</v>
      </c>
    </row>
    <row r="166" spans="1:11" x14ac:dyDescent="0.2">
      <c r="A166" s="24" t="s">
        <v>157</v>
      </c>
      <c r="B166" s="22" t="s">
        <v>15</v>
      </c>
      <c r="C166" s="25" t="s">
        <v>152</v>
      </c>
      <c r="D166" s="22" t="s">
        <v>17</v>
      </c>
      <c r="E166" s="22" t="s">
        <v>156</v>
      </c>
      <c r="F166" s="23">
        <v>300</v>
      </c>
      <c r="G166" s="26">
        <f>'[1]Публ. объяз 19'!C12</f>
        <v>2297796</v>
      </c>
      <c r="H166" s="16">
        <f>G166</f>
        <v>2297796</v>
      </c>
      <c r="I166" s="16">
        <f>G166</f>
        <v>2297796</v>
      </c>
    </row>
    <row r="167" spans="1:11" x14ac:dyDescent="0.2">
      <c r="A167" s="17" t="s">
        <v>158</v>
      </c>
      <c r="B167" s="18"/>
      <c r="C167" s="19" t="s">
        <v>152</v>
      </c>
      <c r="D167" s="18" t="s">
        <v>27</v>
      </c>
      <c r="E167" s="18"/>
      <c r="F167" s="23"/>
      <c r="G167" s="21">
        <f>G168</f>
        <v>24000</v>
      </c>
      <c r="H167" s="21">
        <f>H168</f>
        <v>24000</v>
      </c>
      <c r="I167" s="21">
        <f>I168</f>
        <v>24000</v>
      </c>
    </row>
    <row r="168" spans="1:11" ht="25.5" x14ac:dyDescent="0.2">
      <c r="A168" s="17" t="s">
        <v>159</v>
      </c>
      <c r="B168" s="18" t="s">
        <v>14</v>
      </c>
      <c r="C168" s="19" t="s">
        <v>152</v>
      </c>
      <c r="D168" s="18" t="s">
        <v>27</v>
      </c>
      <c r="E168" s="18" t="s">
        <v>153</v>
      </c>
      <c r="F168" s="19" t="s">
        <v>23</v>
      </c>
      <c r="G168" s="21">
        <f>SUM(G169:G170)</f>
        <v>24000</v>
      </c>
      <c r="H168" s="21">
        <f>SUM(H169:H170)</f>
        <v>24000</v>
      </c>
      <c r="I168" s="21">
        <f>SUM(I169:I170)</f>
        <v>24000</v>
      </c>
    </row>
    <row r="169" spans="1:11" x14ac:dyDescent="0.2">
      <c r="A169" s="24" t="s">
        <v>157</v>
      </c>
      <c r="B169" s="22" t="s">
        <v>15</v>
      </c>
      <c r="C169" s="25" t="s">
        <v>152</v>
      </c>
      <c r="D169" s="22" t="s">
        <v>27</v>
      </c>
      <c r="E169" s="22" t="s">
        <v>160</v>
      </c>
      <c r="F169" s="23">
        <v>300</v>
      </c>
      <c r="G169" s="26">
        <f>'[1]Публ. объяз 19'!C13</f>
        <v>24000</v>
      </c>
      <c r="H169" s="16">
        <f>G169</f>
        <v>24000</v>
      </c>
      <c r="I169" s="16">
        <f>H169</f>
        <v>24000</v>
      </c>
      <c r="K169" s="3" t="s">
        <v>15</v>
      </c>
    </row>
    <row r="170" spans="1:11" x14ac:dyDescent="0.2">
      <c r="A170" s="24"/>
      <c r="B170" s="22"/>
      <c r="C170" s="25"/>
      <c r="D170" s="22"/>
      <c r="E170" s="22"/>
      <c r="F170" s="23"/>
      <c r="G170" s="26"/>
      <c r="H170" s="16"/>
      <c r="I170" s="16"/>
    </row>
    <row r="171" spans="1:11" x14ac:dyDescent="0.2">
      <c r="A171" s="34" t="s">
        <v>161</v>
      </c>
      <c r="B171" s="22"/>
      <c r="C171" s="19" t="s">
        <v>152</v>
      </c>
      <c r="D171" s="18" t="s">
        <v>31</v>
      </c>
      <c r="E171" s="18" t="s">
        <v>162</v>
      </c>
      <c r="F171" s="20">
        <v>530</v>
      </c>
      <c r="G171" s="21">
        <f>G173+G174+G175+G176</f>
        <v>5172400</v>
      </c>
      <c r="H171" s="16">
        <f>SUM(H173:H176)</f>
        <v>4940558</v>
      </c>
      <c r="I171" s="16">
        <f>SUM(I173:I176)</f>
        <v>4940558</v>
      </c>
    </row>
    <row r="172" spans="1:11" x14ac:dyDescent="0.2">
      <c r="A172" s="24" t="s">
        <v>163</v>
      </c>
      <c r="B172" s="22"/>
      <c r="C172" s="19"/>
      <c r="D172" s="18"/>
      <c r="E172" s="18"/>
      <c r="F172" s="20"/>
      <c r="G172" s="21"/>
      <c r="H172" s="16"/>
      <c r="I172" s="16"/>
    </row>
    <row r="173" spans="1:11" x14ac:dyDescent="0.2">
      <c r="A173" s="24" t="s">
        <v>164</v>
      </c>
      <c r="B173" s="22" t="s">
        <v>107</v>
      </c>
      <c r="C173" s="19" t="s">
        <v>152</v>
      </c>
      <c r="D173" s="18" t="s">
        <v>31</v>
      </c>
      <c r="E173" s="18" t="s">
        <v>165</v>
      </c>
      <c r="F173" s="20">
        <v>313</v>
      </c>
      <c r="G173" s="21">
        <f>'[1]Доходы №1'!E45*1000</f>
        <v>1505400</v>
      </c>
      <c r="H173" s="16">
        <v>73190</v>
      </c>
      <c r="I173" s="16">
        <v>73190</v>
      </c>
    </row>
    <row r="174" spans="1:11" x14ac:dyDescent="0.2">
      <c r="A174" s="24" t="s">
        <v>166</v>
      </c>
      <c r="B174" s="22" t="s">
        <v>14</v>
      </c>
      <c r="C174" s="19" t="s">
        <v>152</v>
      </c>
      <c r="D174" s="18" t="s">
        <v>31</v>
      </c>
      <c r="E174" s="18" t="s">
        <v>167</v>
      </c>
      <c r="F174" s="20">
        <v>412</v>
      </c>
      <c r="G174" s="21">
        <f>[1]Сводсоцпол!H12</f>
        <v>675000</v>
      </c>
      <c r="H174" s="26">
        <v>1179684</v>
      </c>
      <c r="I174" s="26">
        <v>1179684</v>
      </c>
    </row>
    <row r="175" spans="1:11" x14ac:dyDescent="0.2">
      <c r="A175" s="24" t="s">
        <v>166</v>
      </c>
      <c r="B175" s="22" t="s">
        <v>14</v>
      </c>
      <c r="C175" s="19" t="s">
        <v>152</v>
      </c>
      <c r="D175" s="18" t="s">
        <v>31</v>
      </c>
      <c r="E175" s="18" t="s">
        <v>168</v>
      </c>
      <c r="F175" s="20">
        <v>412</v>
      </c>
      <c r="G175" s="21">
        <f>[1]Сводсоцпол!H13</f>
        <v>675000</v>
      </c>
      <c r="H175" s="26">
        <v>1179684</v>
      </c>
      <c r="I175" s="26">
        <v>1179684</v>
      </c>
    </row>
    <row r="176" spans="1:11" x14ac:dyDescent="0.2">
      <c r="A176" s="24" t="s">
        <v>169</v>
      </c>
      <c r="B176" s="22" t="s">
        <v>107</v>
      </c>
      <c r="C176" s="19" t="s">
        <v>152</v>
      </c>
      <c r="D176" s="18" t="s">
        <v>31</v>
      </c>
      <c r="E176" s="18" t="s">
        <v>170</v>
      </c>
      <c r="F176" s="20">
        <v>313</v>
      </c>
      <c r="G176" s="21">
        <f>[1]Сводсоцпол!H16</f>
        <v>2317000</v>
      </c>
      <c r="H176" s="16">
        <v>2508000</v>
      </c>
      <c r="I176" s="16">
        <v>2508000</v>
      </c>
    </row>
    <row r="177" spans="1:13" ht="25.5" x14ac:dyDescent="0.2">
      <c r="A177" s="17" t="s">
        <v>171</v>
      </c>
      <c r="B177" s="22" t="s">
        <v>107</v>
      </c>
      <c r="C177" s="19" t="s">
        <v>152</v>
      </c>
      <c r="D177" s="18" t="s">
        <v>39</v>
      </c>
      <c r="E177" s="18" t="s">
        <v>172</v>
      </c>
      <c r="F177" s="19" t="s">
        <v>23</v>
      </c>
      <c r="G177" s="21">
        <f>SUM(G178:G179)</f>
        <v>746000</v>
      </c>
      <c r="H177" s="16">
        <f>G177</f>
        <v>746000</v>
      </c>
      <c r="I177" s="16">
        <f>G177</f>
        <v>746000</v>
      </c>
    </row>
    <row r="178" spans="1:13" ht="25.5" x14ac:dyDescent="0.2">
      <c r="A178" s="24" t="s">
        <v>24</v>
      </c>
      <c r="B178" s="22"/>
      <c r="C178" s="25" t="s">
        <v>152</v>
      </c>
      <c r="D178" s="22" t="s">
        <v>39</v>
      </c>
      <c r="E178" s="22" t="s">
        <v>172</v>
      </c>
      <c r="F178" s="23">
        <v>120</v>
      </c>
      <c r="G178" s="26">
        <f>'[1]Свод образ'!AH37</f>
        <v>709362</v>
      </c>
      <c r="H178" s="16">
        <f>G178</f>
        <v>709362</v>
      </c>
      <c r="I178" s="16">
        <f>H178</f>
        <v>709362</v>
      </c>
    </row>
    <row r="179" spans="1:13" ht="25.5" x14ac:dyDescent="0.2">
      <c r="A179" s="24" t="s">
        <v>25</v>
      </c>
      <c r="B179" s="22"/>
      <c r="C179" s="25" t="s">
        <v>152</v>
      </c>
      <c r="D179" s="22" t="s">
        <v>39</v>
      </c>
      <c r="E179" s="22" t="s">
        <v>172</v>
      </c>
      <c r="F179" s="23">
        <v>240</v>
      </c>
      <c r="G179" s="26">
        <f>'[1]Свод образ'!AI37</f>
        <v>36638</v>
      </c>
      <c r="H179" s="16">
        <f>G179</f>
        <v>36638</v>
      </c>
      <c r="I179" s="16">
        <f>H179</f>
        <v>36638</v>
      </c>
    </row>
    <row r="180" spans="1:13" x14ac:dyDescent="0.2">
      <c r="A180" s="17" t="s">
        <v>173</v>
      </c>
      <c r="B180" s="18" t="s">
        <v>14</v>
      </c>
      <c r="C180" s="19" t="s">
        <v>46</v>
      </c>
      <c r="D180" s="18" t="s">
        <v>18</v>
      </c>
      <c r="E180" s="18" t="s">
        <v>153</v>
      </c>
      <c r="F180" s="19" t="s">
        <v>23</v>
      </c>
      <c r="G180" s="21">
        <f>SUM(G181,G184,G189)</f>
        <v>8327314.3130800007</v>
      </c>
      <c r="H180" s="21">
        <f>SUM(H181,H184,H189)</f>
        <v>7577314.3130800007</v>
      </c>
      <c r="I180" s="21">
        <f>SUM(I181,I184,I189)</f>
        <v>7577314.3130800007</v>
      </c>
    </row>
    <row r="181" spans="1:13" x14ac:dyDescent="0.2">
      <c r="A181" s="24" t="s">
        <v>174</v>
      </c>
      <c r="B181" s="22" t="s">
        <v>15</v>
      </c>
      <c r="C181" s="25" t="s">
        <v>46</v>
      </c>
      <c r="D181" s="22" t="s">
        <v>17</v>
      </c>
      <c r="E181" s="22" t="s">
        <v>175</v>
      </c>
      <c r="F181" s="23" t="s">
        <v>15</v>
      </c>
      <c r="G181" s="21">
        <f>G182</f>
        <v>0</v>
      </c>
      <c r="H181" s="21">
        <f>H182</f>
        <v>0</v>
      </c>
      <c r="I181" s="21">
        <f>I182</f>
        <v>0</v>
      </c>
    </row>
    <row r="182" spans="1:13" x14ac:dyDescent="0.2">
      <c r="A182" s="24" t="s">
        <v>157</v>
      </c>
      <c r="B182" s="22" t="s">
        <v>15</v>
      </c>
      <c r="C182" s="25" t="s">
        <v>46</v>
      </c>
      <c r="D182" s="22" t="s">
        <v>17</v>
      </c>
      <c r="E182" s="22" t="s">
        <v>175</v>
      </c>
      <c r="F182" s="23">
        <v>240</v>
      </c>
      <c r="G182" s="26"/>
      <c r="H182" s="16">
        <f>G182</f>
        <v>0</v>
      </c>
      <c r="I182" s="16">
        <f>H182</f>
        <v>0</v>
      </c>
      <c r="M182" s="3" t="s">
        <v>15</v>
      </c>
    </row>
    <row r="183" spans="1:13" x14ac:dyDescent="0.2">
      <c r="A183" s="14" t="s">
        <v>176</v>
      </c>
      <c r="B183" s="18" t="s">
        <v>177</v>
      </c>
      <c r="C183" s="25"/>
      <c r="D183" s="22"/>
      <c r="E183" s="22"/>
      <c r="F183" s="23"/>
      <c r="G183" s="26"/>
      <c r="H183" s="16"/>
      <c r="I183" s="16"/>
    </row>
    <row r="184" spans="1:13" x14ac:dyDescent="0.2">
      <c r="A184" s="24" t="s">
        <v>176</v>
      </c>
      <c r="B184" s="18" t="s">
        <v>177</v>
      </c>
      <c r="C184" s="19" t="s">
        <v>46</v>
      </c>
      <c r="D184" s="18" t="s">
        <v>17</v>
      </c>
      <c r="E184" s="18" t="s">
        <v>178</v>
      </c>
      <c r="F184" s="19" t="s">
        <v>23</v>
      </c>
      <c r="G184" s="21">
        <f>SUM(G185:G188)</f>
        <v>6258080.0030000005</v>
      </c>
      <c r="H184" s="21">
        <f>SUM(H185:H188)</f>
        <v>6258080.0030000005</v>
      </c>
      <c r="I184" s="21">
        <f>SUM(I185:I188)</f>
        <v>6258080.0030000005</v>
      </c>
    </row>
    <row r="185" spans="1:13" ht="25.5" x14ac:dyDescent="0.2">
      <c r="A185" s="24" t="s">
        <v>85</v>
      </c>
      <c r="B185" s="22"/>
      <c r="C185" s="25" t="s">
        <v>46</v>
      </c>
      <c r="D185" s="22" t="s">
        <v>17</v>
      </c>
      <c r="E185" s="22" t="s">
        <v>178</v>
      </c>
      <c r="F185" s="23">
        <v>110</v>
      </c>
      <c r="G185" s="26">
        <f>'[1]МКУ ФОК'!Z7</f>
        <v>4484587.9680000003</v>
      </c>
      <c r="H185" s="16">
        <f>G185</f>
        <v>4484587.9680000003</v>
      </c>
      <c r="I185" s="16">
        <f>H185</f>
        <v>4484587.9680000003</v>
      </c>
    </row>
    <row r="186" spans="1:13" ht="25.5" x14ac:dyDescent="0.2">
      <c r="A186" s="24" t="s">
        <v>25</v>
      </c>
      <c r="B186" s="22"/>
      <c r="C186" s="25" t="s">
        <v>46</v>
      </c>
      <c r="D186" s="22" t="s">
        <v>17</v>
      </c>
      <c r="E186" s="22" t="s">
        <v>178</v>
      </c>
      <c r="F186" s="23">
        <v>240</v>
      </c>
      <c r="G186" s="26">
        <f>'[1]МКУ ФОК'!AA7+17592</f>
        <v>465188.55499999993</v>
      </c>
      <c r="H186" s="16">
        <f>G186</f>
        <v>465188.55499999993</v>
      </c>
      <c r="I186" s="16">
        <f>G186</f>
        <v>465188.55499999993</v>
      </c>
    </row>
    <row r="187" spans="1:13" ht="25.5" x14ac:dyDescent="0.2">
      <c r="A187" s="24" t="s">
        <v>58</v>
      </c>
      <c r="B187" s="22"/>
      <c r="C187" s="25" t="s">
        <v>46</v>
      </c>
      <c r="D187" s="22" t="s">
        <v>17</v>
      </c>
      <c r="E187" s="22" t="s">
        <v>179</v>
      </c>
      <c r="F187" s="23">
        <v>400</v>
      </c>
      <c r="G187" s="26">
        <v>0</v>
      </c>
      <c r="H187" s="26">
        <f>'[1]МКУ ФОК'!AD8</f>
        <v>0</v>
      </c>
      <c r="I187" s="26">
        <f>'[1]МКУ ФОК'!AE8</f>
        <v>0</v>
      </c>
    </row>
    <row r="188" spans="1:13" x14ac:dyDescent="0.2">
      <c r="A188" s="24" t="s">
        <v>34</v>
      </c>
      <c r="B188" s="22"/>
      <c r="C188" s="25" t="s">
        <v>46</v>
      </c>
      <c r="D188" s="22" t="s">
        <v>17</v>
      </c>
      <c r="E188" s="22" t="s">
        <v>178</v>
      </c>
      <c r="F188" s="23">
        <v>850</v>
      </c>
      <c r="G188" s="26">
        <f>'[1]МКУ ФОК'!AB7+12408</f>
        <v>1308303.4800000002</v>
      </c>
      <c r="H188" s="16">
        <f>G188</f>
        <v>1308303.4800000002</v>
      </c>
      <c r="I188" s="16">
        <f>G188</f>
        <v>1308303.4800000002</v>
      </c>
      <c r="L188" s="3" t="s">
        <v>15</v>
      </c>
    </row>
    <row r="189" spans="1:13" x14ac:dyDescent="0.2">
      <c r="A189" s="17" t="s">
        <v>180</v>
      </c>
      <c r="B189" s="18" t="s">
        <v>14</v>
      </c>
      <c r="C189" s="19" t="s">
        <v>46</v>
      </c>
      <c r="D189" s="18" t="s">
        <v>36</v>
      </c>
      <c r="E189" s="18"/>
      <c r="F189" s="20"/>
      <c r="G189" s="21">
        <f>G190</f>
        <v>2069234.31008</v>
      </c>
      <c r="H189" s="21">
        <f>H190</f>
        <v>1319234.31008</v>
      </c>
      <c r="I189" s="21">
        <f>I190</f>
        <v>1319234.31008</v>
      </c>
    </row>
    <row r="190" spans="1:13" x14ac:dyDescent="0.2">
      <c r="A190" s="17" t="s">
        <v>181</v>
      </c>
      <c r="B190" s="18" t="s">
        <v>14</v>
      </c>
      <c r="C190" s="19" t="s">
        <v>46</v>
      </c>
      <c r="D190" s="18" t="s">
        <v>36</v>
      </c>
      <c r="E190" s="18" t="s">
        <v>33</v>
      </c>
      <c r="F190" s="19" t="s">
        <v>23</v>
      </c>
      <c r="G190" s="21">
        <f>SUM(G191:G193)</f>
        <v>2069234.31008</v>
      </c>
      <c r="H190" s="21">
        <f>SUM(H191:H192)</f>
        <v>1319234.31008</v>
      </c>
      <c r="I190" s="21">
        <f>SUM(I191:I192)</f>
        <v>1319234.31008</v>
      </c>
    </row>
    <row r="191" spans="1:13" ht="25.5" x14ac:dyDescent="0.2">
      <c r="A191" s="24" t="s">
        <v>24</v>
      </c>
      <c r="B191" s="22" t="s">
        <v>15</v>
      </c>
      <c r="C191" s="25" t="s">
        <v>46</v>
      </c>
      <c r="D191" s="22" t="s">
        <v>36</v>
      </c>
      <c r="E191" s="22" t="s">
        <v>33</v>
      </c>
      <c r="F191" s="23">
        <v>120</v>
      </c>
      <c r="G191" s="26">
        <f>'[1]Аппарат свод'!AK38</f>
        <v>1254770.0241799999</v>
      </c>
      <c r="H191" s="16">
        <f>G191</f>
        <v>1254770.0241799999</v>
      </c>
      <c r="I191" s="16">
        <f>H191</f>
        <v>1254770.0241799999</v>
      </c>
    </row>
    <row r="192" spans="1:13" ht="25.5" x14ac:dyDescent="0.2">
      <c r="A192" s="24" t="s">
        <v>25</v>
      </c>
      <c r="B192" s="22" t="s">
        <v>15</v>
      </c>
      <c r="C192" s="25" t="s">
        <v>46</v>
      </c>
      <c r="D192" s="22" t="s">
        <v>36</v>
      </c>
      <c r="E192" s="22" t="s">
        <v>33</v>
      </c>
      <c r="F192" s="23">
        <v>240</v>
      </c>
      <c r="G192" s="26">
        <f>'[1]Аппарат свод'!AL38</f>
        <v>64464.285900000017</v>
      </c>
      <c r="H192" s="16">
        <f>G192</f>
        <v>64464.285900000017</v>
      </c>
      <c r="I192" s="16">
        <f>H192</f>
        <v>64464.285900000017</v>
      </c>
      <c r="K192" s="3" t="s">
        <v>15</v>
      </c>
    </row>
    <row r="193" spans="1:13" ht="25.5" x14ac:dyDescent="0.2">
      <c r="A193" s="24" t="s">
        <v>25</v>
      </c>
      <c r="B193" s="22"/>
      <c r="C193" s="25" t="s">
        <v>46</v>
      </c>
      <c r="D193" s="22" t="s">
        <v>36</v>
      </c>
      <c r="E193" s="22" t="s">
        <v>175</v>
      </c>
      <c r="F193" s="23">
        <v>240</v>
      </c>
      <c r="G193" s="26">
        <f>'[1]Аппарат свод'!AL39</f>
        <v>750000</v>
      </c>
      <c r="H193" s="16"/>
      <c r="I193" s="16"/>
    </row>
    <row r="194" spans="1:13" x14ac:dyDescent="0.2">
      <c r="A194" s="17" t="s">
        <v>182</v>
      </c>
      <c r="B194" s="18"/>
      <c r="C194" s="19" t="s">
        <v>183</v>
      </c>
      <c r="D194" s="18" t="s">
        <v>18</v>
      </c>
      <c r="E194" s="18"/>
      <c r="F194" s="20"/>
      <c r="G194" s="21">
        <f>SUM(G196,G201)</f>
        <v>6733201.5577999987</v>
      </c>
      <c r="H194" s="21">
        <f>SUM(H196,H201)</f>
        <v>6733201.5577999987</v>
      </c>
      <c r="I194" s="21">
        <f>SUM(I196,I201)</f>
        <v>6629803.3927999996</v>
      </c>
    </row>
    <row r="195" spans="1:13" x14ac:dyDescent="0.2">
      <c r="A195" s="14" t="s">
        <v>184</v>
      </c>
      <c r="B195" s="18" t="s">
        <v>185</v>
      </c>
      <c r="C195" s="19"/>
      <c r="D195" s="18"/>
      <c r="E195" s="18"/>
      <c r="F195" s="20"/>
      <c r="G195" s="21"/>
      <c r="H195" s="16"/>
      <c r="I195" s="16"/>
    </row>
    <row r="196" spans="1:13" x14ac:dyDescent="0.2">
      <c r="A196" s="17" t="s">
        <v>15</v>
      </c>
      <c r="B196" s="18" t="s">
        <v>185</v>
      </c>
      <c r="C196" s="19" t="s">
        <v>183</v>
      </c>
      <c r="D196" s="18" t="s">
        <v>17</v>
      </c>
      <c r="E196" s="18" t="s">
        <v>186</v>
      </c>
      <c r="F196" s="19" t="s">
        <v>23</v>
      </c>
      <c r="G196" s="21">
        <f>SUM(G197:G199)</f>
        <v>2327895.0288</v>
      </c>
      <c r="H196" s="21">
        <f>SUM(H197:H199)</f>
        <v>2327895.0288</v>
      </c>
      <c r="I196" s="21">
        <f>SUM(I197:I199)</f>
        <v>2327895.0288</v>
      </c>
    </row>
    <row r="197" spans="1:13" ht="25.5" x14ac:dyDescent="0.2">
      <c r="A197" s="24" t="s">
        <v>85</v>
      </c>
      <c r="B197" s="22" t="s">
        <v>15</v>
      </c>
      <c r="C197" s="25" t="s">
        <v>183</v>
      </c>
      <c r="D197" s="22" t="s">
        <v>17</v>
      </c>
      <c r="E197" s="22" t="s">
        <v>186</v>
      </c>
      <c r="F197" s="23">
        <v>110</v>
      </c>
      <c r="G197" s="26">
        <f>'[1]МКУ РВК'!AC7</f>
        <v>1668864.5867999999</v>
      </c>
      <c r="H197" s="16">
        <f>G197</f>
        <v>1668864.5867999999</v>
      </c>
      <c r="I197" s="16">
        <f>G197</f>
        <v>1668864.5867999999</v>
      </c>
    </row>
    <row r="198" spans="1:13" ht="25.5" x14ac:dyDescent="0.2">
      <c r="A198" s="24" t="s">
        <v>25</v>
      </c>
      <c r="B198" s="22"/>
      <c r="C198" s="25" t="s">
        <v>183</v>
      </c>
      <c r="D198" s="22" t="s">
        <v>17</v>
      </c>
      <c r="E198" s="22" t="s">
        <v>186</v>
      </c>
      <c r="F198" s="23">
        <v>240</v>
      </c>
      <c r="G198" s="26">
        <f>'[1]МКУ РВК'!AD7</f>
        <v>656030.44200000004</v>
      </c>
      <c r="H198" s="16">
        <f>G198</f>
        <v>656030.44200000004</v>
      </c>
      <c r="I198" s="16">
        <f>G198</f>
        <v>656030.44200000004</v>
      </c>
    </row>
    <row r="199" spans="1:13" x14ac:dyDescent="0.2">
      <c r="A199" s="24" t="s">
        <v>34</v>
      </c>
      <c r="B199" s="22"/>
      <c r="C199" s="25" t="s">
        <v>183</v>
      </c>
      <c r="D199" s="22" t="s">
        <v>17</v>
      </c>
      <c r="E199" s="22" t="s">
        <v>186</v>
      </c>
      <c r="F199" s="23">
        <v>850</v>
      </c>
      <c r="G199" s="26">
        <f>'[1]МКУ РВК'!AE7</f>
        <v>3000</v>
      </c>
      <c r="H199" s="16">
        <f>G199</f>
        <v>3000</v>
      </c>
      <c r="I199" s="16">
        <f>G199</f>
        <v>3000</v>
      </c>
      <c r="M199" s="3" t="s">
        <v>15</v>
      </c>
    </row>
    <row r="200" spans="1:13" ht="25.5" x14ac:dyDescent="0.2">
      <c r="A200" s="14" t="s">
        <v>187</v>
      </c>
      <c r="B200" s="18" t="s">
        <v>188</v>
      </c>
      <c r="C200" s="25"/>
      <c r="D200" s="22"/>
      <c r="E200" s="22"/>
      <c r="F200" s="23"/>
      <c r="G200" s="26"/>
      <c r="H200" s="16"/>
      <c r="I200" s="16"/>
    </row>
    <row r="201" spans="1:13" x14ac:dyDescent="0.2">
      <c r="A201" s="17" t="s">
        <v>15</v>
      </c>
      <c r="B201" s="18" t="s">
        <v>188</v>
      </c>
      <c r="C201" s="19" t="s">
        <v>183</v>
      </c>
      <c r="D201" s="18" t="s">
        <v>20</v>
      </c>
      <c r="E201" s="18" t="s">
        <v>189</v>
      </c>
      <c r="F201" s="19" t="s">
        <v>23</v>
      </c>
      <c r="G201" s="21">
        <f>SUM(G202:G204)</f>
        <v>4405306.5289999992</v>
      </c>
      <c r="H201" s="21">
        <f>SUM(H202:H204)</f>
        <v>4405306.5289999992</v>
      </c>
      <c r="I201" s="21">
        <f>SUM(I202:I204)</f>
        <v>4301908.3640000001</v>
      </c>
    </row>
    <row r="202" spans="1:13" ht="25.5" x14ac:dyDescent="0.2">
      <c r="A202" s="24" t="s">
        <v>85</v>
      </c>
      <c r="B202" s="22" t="s">
        <v>15</v>
      </c>
      <c r="C202" s="25" t="s">
        <v>183</v>
      </c>
      <c r="D202" s="22" t="s">
        <v>20</v>
      </c>
      <c r="E202" s="22" t="s">
        <v>189</v>
      </c>
      <c r="F202" s="23">
        <v>110</v>
      </c>
      <c r="G202" s="26">
        <f>'[1]редакция МКУ '!AC7</f>
        <v>3819974.3640000001</v>
      </c>
      <c r="H202" s="16">
        <f>G202</f>
        <v>3819974.3640000001</v>
      </c>
      <c r="I202" s="16">
        <f>G202</f>
        <v>3819974.3640000001</v>
      </c>
    </row>
    <row r="203" spans="1:13" ht="25.5" x14ac:dyDescent="0.2">
      <c r="A203" s="24" t="s">
        <v>25</v>
      </c>
      <c r="B203" s="22"/>
      <c r="C203" s="25" t="s">
        <v>183</v>
      </c>
      <c r="D203" s="22" t="s">
        <v>20</v>
      </c>
      <c r="E203" s="22" t="s">
        <v>189</v>
      </c>
      <c r="F203" s="23">
        <v>240</v>
      </c>
      <c r="G203" s="26">
        <f>'[1]редакция МКУ '!AD7</f>
        <v>585332.16499999911</v>
      </c>
      <c r="H203" s="16">
        <f>G203</f>
        <v>585332.16499999911</v>
      </c>
      <c r="I203" s="16">
        <v>481934</v>
      </c>
    </row>
    <row r="204" spans="1:13" x14ac:dyDescent="0.2">
      <c r="A204" s="24" t="s">
        <v>34</v>
      </c>
      <c r="B204" s="22" t="s">
        <v>15</v>
      </c>
      <c r="C204" s="25" t="s">
        <v>183</v>
      </c>
      <c r="D204" s="22" t="s">
        <v>20</v>
      </c>
      <c r="E204" s="22" t="s">
        <v>189</v>
      </c>
      <c r="F204" s="23">
        <v>850</v>
      </c>
      <c r="G204" s="26">
        <f>'[1]редакция МКУ '!AE7</f>
        <v>0</v>
      </c>
      <c r="H204" s="16">
        <f>G204</f>
        <v>0</v>
      </c>
      <c r="I204" s="16">
        <f>G204</f>
        <v>0</v>
      </c>
      <c r="L204" s="3" t="s">
        <v>15</v>
      </c>
    </row>
    <row r="205" spans="1:13" ht="25.5" x14ac:dyDescent="0.2">
      <c r="A205" s="17" t="s">
        <v>190</v>
      </c>
      <c r="B205" s="18" t="s">
        <v>14</v>
      </c>
      <c r="C205" s="19" t="s">
        <v>51</v>
      </c>
      <c r="D205" s="18" t="s">
        <v>17</v>
      </c>
      <c r="E205" s="18" t="s">
        <v>191</v>
      </c>
      <c r="F205" s="20">
        <v>730</v>
      </c>
      <c r="G205" s="21">
        <f>'[1]Аппарат свод'!BM46</f>
        <v>11500</v>
      </c>
      <c r="H205" s="21">
        <v>11500</v>
      </c>
      <c r="I205" s="21">
        <v>7700</v>
      </c>
    </row>
    <row r="206" spans="1:13" x14ac:dyDescent="0.2">
      <c r="A206" s="17" t="s">
        <v>192</v>
      </c>
      <c r="B206" s="18" t="s">
        <v>41</v>
      </c>
      <c r="C206" s="19" t="s">
        <v>193</v>
      </c>
      <c r="D206" s="18" t="s">
        <v>18</v>
      </c>
      <c r="E206" s="18" t="s">
        <v>111</v>
      </c>
      <c r="F206" s="20"/>
      <c r="G206" s="21">
        <f>SUM(G207:G208,G209,G210)</f>
        <v>120542999.52118102</v>
      </c>
      <c r="H206" s="21">
        <f>SUM(H207,H209,H210)</f>
        <v>88205999.521181002</v>
      </c>
      <c r="I206" s="21">
        <f>SUM(I207,I209,I210)</f>
        <v>82662999.521181002</v>
      </c>
    </row>
    <row r="207" spans="1:13" ht="25.5" x14ac:dyDescent="0.2">
      <c r="A207" s="17" t="s">
        <v>194</v>
      </c>
      <c r="B207" s="22" t="s">
        <v>15</v>
      </c>
      <c r="C207" s="19" t="s">
        <v>193</v>
      </c>
      <c r="D207" s="18" t="s">
        <v>17</v>
      </c>
      <c r="E207" s="18" t="s">
        <v>195</v>
      </c>
      <c r="F207" s="20">
        <v>511</v>
      </c>
      <c r="G207" s="21">
        <f>'[1]Дотация пос 8'!B30</f>
        <v>101126000.00000001</v>
      </c>
      <c r="H207" s="16">
        <v>65898000</v>
      </c>
      <c r="I207" s="16">
        <v>62603000</v>
      </c>
    </row>
    <row r="208" spans="1:13" ht="25.5" x14ac:dyDescent="0.2">
      <c r="A208" s="17" t="s">
        <v>196</v>
      </c>
      <c r="B208" s="22"/>
      <c r="C208" s="19" t="s">
        <v>193</v>
      </c>
      <c r="D208" s="18" t="s">
        <v>17</v>
      </c>
      <c r="E208" s="18" t="s">
        <v>195</v>
      </c>
      <c r="F208" s="20">
        <v>511</v>
      </c>
      <c r="G208" s="21">
        <f>'[1]Налоги посел 6'!AG36*1000</f>
        <v>0</v>
      </c>
      <c r="H208" s="16">
        <v>0</v>
      </c>
      <c r="I208" s="16">
        <v>0</v>
      </c>
    </row>
    <row r="209" spans="1:14" ht="25.5" x14ac:dyDescent="0.2">
      <c r="A209" s="17" t="s">
        <v>197</v>
      </c>
      <c r="B209" s="22"/>
      <c r="C209" s="19" t="s">
        <v>193</v>
      </c>
      <c r="D209" s="18" t="s">
        <v>20</v>
      </c>
      <c r="E209" s="18" t="s">
        <v>198</v>
      </c>
      <c r="F209" s="20">
        <v>512</v>
      </c>
      <c r="G209" s="21">
        <f>'[1]Дотация пос 8'!B33</f>
        <v>0</v>
      </c>
      <c r="H209" s="16"/>
      <c r="I209" s="16"/>
    </row>
    <row r="210" spans="1:14" x14ac:dyDescent="0.2">
      <c r="A210" s="17" t="s">
        <v>199</v>
      </c>
      <c r="B210" s="22"/>
      <c r="C210" s="19" t="s">
        <v>193</v>
      </c>
      <c r="D210" s="18" t="s">
        <v>27</v>
      </c>
      <c r="E210" s="18" t="s">
        <v>111</v>
      </c>
      <c r="F210" s="19" t="s">
        <v>23</v>
      </c>
      <c r="G210" s="21">
        <f>SUM(G211:G214)</f>
        <v>19416999.521181002</v>
      </c>
      <c r="H210" s="21">
        <f>SUM(H211:H214)</f>
        <v>22307999.521181002</v>
      </c>
      <c r="I210" s="21">
        <f>SUM(I211:I214)</f>
        <v>20059999.521181002</v>
      </c>
    </row>
    <row r="211" spans="1:14" x14ac:dyDescent="0.2">
      <c r="A211" s="17" t="s">
        <v>200</v>
      </c>
      <c r="B211" s="22"/>
      <c r="C211" s="25" t="s">
        <v>193</v>
      </c>
      <c r="D211" s="22" t="s">
        <v>27</v>
      </c>
      <c r="E211" s="22" t="s">
        <v>74</v>
      </c>
      <c r="F211" s="23">
        <v>530</v>
      </c>
      <c r="G211" s="26">
        <f>'[1]Субс посел на город среду 11'!C25*1000</f>
        <v>0</v>
      </c>
      <c r="H211" s="16"/>
      <c r="I211" s="16"/>
    </row>
    <row r="212" spans="1:14" x14ac:dyDescent="0.2">
      <c r="A212" s="17" t="s">
        <v>201</v>
      </c>
      <c r="B212" s="22"/>
      <c r="C212" s="25" t="s">
        <v>193</v>
      </c>
      <c r="D212" s="22" t="s">
        <v>27</v>
      </c>
      <c r="E212" s="22" t="s">
        <v>202</v>
      </c>
      <c r="F212" s="23">
        <v>530</v>
      </c>
      <c r="G212" s="26">
        <f>'[1]ВУС 12'!B32</f>
        <v>3109000</v>
      </c>
      <c r="H212" s="16">
        <v>3035000</v>
      </c>
      <c r="I212" s="16">
        <v>3152000</v>
      </c>
    </row>
    <row r="213" spans="1:14" ht="25.5" x14ac:dyDescent="0.2">
      <c r="A213" s="17" t="s">
        <v>203</v>
      </c>
      <c r="B213" s="22"/>
      <c r="C213" s="25" t="s">
        <v>193</v>
      </c>
      <c r="D213" s="22" t="s">
        <v>27</v>
      </c>
      <c r="E213" s="22" t="s">
        <v>204</v>
      </c>
      <c r="F213" s="23">
        <v>540</v>
      </c>
      <c r="G213" s="26">
        <f>'[1]Свод бюджета района'!G106</f>
        <v>8999999.5211810004</v>
      </c>
      <c r="H213" s="16">
        <f>G213</f>
        <v>8999999.5211810004</v>
      </c>
      <c r="I213" s="16">
        <f>H213</f>
        <v>8999999.5211810004</v>
      </c>
    </row>
    <row r="214" spans="1:14" x14ac:dyDescent="0.2">
      <c r="A214" s="17" t="s">
        <v>205</v>
      </c>
      <c r="B214" s="22"/>
      <c r="C214" s="25" t="s">
        <v>193</v>
      </c>
      <c r="D214" s="22" t="s">
        <v>27</v>
      </c>
      <c r="E214" s="22"/>
      <c r="F214" s="23"/>
      <c r="G214" s="26">
        <f>'[1]Свод бюджета района'!G102</f>
        <v>7308000</v>
      </c>
      <c r="H214" s="26">
        <v>10273000</v>
      </c>
      <c r="I214" s="26">
        <v>7908000</v>
      </c>
    </row>
    <row r="215" spans="1:14" x14ac:dyDescent="0.2">
      <c r="A215" s="17" t="s">
        <v>206</v>
      </c>
      <c r="B215" s="22"/>
      <c r="C215" s="25"/>
      <c r="D215" s="22"/>
      <c r="E215" s="22"/>
      <c r="F215" s="23"/>
      <c r="G215" s="26">
        <f>'[1]Субсид посел №10'!B35</f>
        <v>1000000</v>
      </c>
      <c r="H215" s="26">
        <f t="shared" ref="H215:I216" si="11">G215</f>
        <v>1000000</v>
      </c>
      <c r="I215" s="26">
        <f t="shared" si="11"/>
        <v>1000000</v>
      </c>
    </row>
    <row r="216" spans="1:14" ht="25.5" x14ac:dyDescent="0.2">
      <c r="A216" s="17" t="s">
        <v>207</v>
      </c>
      <c r="B216" s="22"/>
      <c r="C216" s="25"/>
      <c r="D216" s="22"/>
      <c r="E216" s="22"/>
      <c r="F216" s="23"/>
      <c r="G216" s="26">
        <f>'[1]Субсид посел №10'!B36</f>
        <v>500000</v>
      </c>
      <c r="H216" s="26">
        <f t="shared" si="11"/>
        <v>500000</v>
      </c>
      <c r="I216" s="26">
        <f t="shared" si="11"/>
        <v>500000</v>
      </c>
    </row>
    <row r="217" spans="1:14" x14ac:dyDescent="0.2">
      <c r="A217" s="17" t="s">
        <v>208</v>
      </c>
      <c r="B217" s="22"/>
      <c r="C217" s="25"/>
      <c r="D217" s="22"/>
      <c r="E217" s="22"/>
      <c r="F217" s="23"/>
      <c r="G217" s="21">
        <f>SUM(G9,G65,G79,G93,G102,G149,G163,G180,G194,G205,G206)</f>
        <v>1185874106.3014662</v>
      </c>
      <c r="H217" s="21">
        <f>SUM(H9,H65,H79,H93,H102,H149,H163,H180,H194,H205,H206)</f>
        <v>1111519855.9744663</v>
      </c>
      <c r="I217" s="21">
        <f>SUM(I9,I65,I79,I93,I102,I149,I163,I180,I194,I205,I206)</f>
        <v>1114523765.8094661</v>
      </c>
      <c r="J217" s="3" t="s">
        <v>15</v>
      </c>
    </row>
    <row r="218" spans="1:14" x14ac:dyDescent="0.2">
      <c r="A218" s="45" t="s">
        <v>209</v>
      </c>
      <c r="G218" s="46">
        <f>'[1]Доходы №1'!E59*1000-3830600</f>
        <v>1185874106</v>
      </c>
      <c r="H218" s="46">
        <f>'[1]Доходы №1'!F59*1000-3830600</f>
        <v>1111519856</v>
      </c>
      <c r="I218" s="46">
        <v>1114523766</v>
      </c>
    </row>
    <row r="219" spans="1:14" x14ac:dyDescent="0.2">
      <c r="A219" s="3" t="s">
        <v>210</v>
      </c>
      <c r="G219" s="47"/>
      <c r="H219" s="47"/>
      <c r="I219" s="47"/>
    </row>
    <row r="220" spans="1:14" x14ac:dyDescent="0.2">
      <c r="A220" s="8" t="s">
        <v>211</v>
      </c>
      <c r="N220" s="3" t="s">
        <v>15</v>
      </c>
    </row>
    <row r="221" spans="1:14" x14ac:dyDescent="0.2">
      <c r="A221" s="3" t="s">
        <v>15</v>
      </c>
    </row>
    <row r="222" spans="1:14" x14ac:dyDescent="0.2">
      <c r="A222" s="48"/>
      <c r="B222" s="48"/>
      <c r="C222" s="48"/>
      <c r="D222" s="48"/>
      <c r="E222" s="48"/>
      <c r="F222" s="48"/>
      <c r="G222" s="49">
        <f>'[1]Доходы №1'!E59*1000-3830600</f>
        <v>1185874106</v>
      </c>
      <c r="H222" s="49">
        <f>'[1]Доходы №1'!F59*1000-3830600</f>
        <v>1111519856</v>
      </c>
      <c r="I222" s="49">
        <f>'[1]Доходы №1'!G59*1000-3830600</f>
        <v>1114523766.0000002</v>
      </c>
    </row>
    <row r="223" spans="1:14" x14ac:dyDescent="0.2">
      <c r="A223" s="48"/>
      <c r="B223" s="48"/>
      <c r="C223" s="48"/>
      <c r="D223" s="48"/>
      <c r="E223" s="48"/>
      <c r="F223" s="48"/>
      <c r="G223" s="50">
        <f>G222-G217</f>
        <v>-0.30146622657775879</v>
      </c>
      <c r="H223" s="50">
        <f>H222-H217</f>
        <v>2.5533676147460938E-2</v>
      </c>
      <c r="I223" s="50">
        <f>I222-I217</f>
        <v>0.19053411483764648</v>
      </c>
    </row>
    <row r="224" spans="1:14" x14ac:dyDescent="0.2">
      <c r="G224" s="47"/>
    </row>
    <row r="225" spans="1:7" x14ac:dyDescent="0.2">
      <c r="A225" s="8" t="s">
        <v>212</v>
      </c>
      <c r="G225" s="47"/>
    </row>
    <row r="226" spans="1:7" x14ac:dyDescent="0.2">
      <c r="G226" s="47"/>
    </row>
    <row r="227" spans="1:7" x14ac:dyDescent="0.2">
      <c r="G227" s="47"/>
    </row>
    <row r="228" spans="1:7" x14ac:dyDescent="0.2">
      <c r="G228" s="47"/>
    </row>
    <row r="229" spans="1:7" x14ac:dyDescent="0.2">
      <c r="G229" s="47"/>
    </row>
    <row r="230" spans="1:7" x14ac:dyDescent="0.2">
      <c r="G230" s="47"/>
    </row>
    <row r="231" spans="1:7" x14ac:dyDescent="0.2">
      <c r="G231" s="47"/>
    </row>
    <row r="232" spans="1:7" x14ac:dyDescent="0.2">
      <c r="G232" s="47"/>
    </row>
    <row r="233" spans="1:7" x14ac:dyDescent="0.2">
      <c r="G233" s="47"/>
    </row>
    <row r="234" spans="1:7" x14ac:dyDescent="0.2">
      <c r="G234" s="47"/>
    </row>
    <row r="235" spans="1:7" x14ac:dyDescent="0.2">
      <c r="G235" s="47"/>
    </row>
    <row r="236" spans="1:7" x14ac:dyDescent="0.2">
      <c r="G236" s="47"/>
    </row>
    <row r="237" spans="1:7" x14ac:dyDescent="0.2">
      <c r="G237" s="47"/>
    </row>
    <row r="238" spans="1:7" x14ac:dyDescent="0.2">
      <c r="G238" s="47"/>
    </row>
    <row r="239" spans="1:7" x14ac:dyDescent="0.2">
      <c r="G239" s="47"/>
    </row>
    <row r="240" spans="1:7" x14ac:dyDescent="0.2">
      <c r="G240" s="47"/>
    </row>
    <row r="241" spans="7:7" x14ac:dyDescent="0.2">
      <c r="G241" s="47"/>
    </row>
    <row r="242" spans="7:7" x14ac:dyDescent="0.2">
      <c r="G242" s="47"/>
    </row>
    <row r="243" spans="7:7" x14ac:dyDescent="0.2">
      <c r="G243" s="47"/>
    </row>
    <row r="244" spans="7:7" x14ac:dyDescent="0.2">
      <c r="G244" s="47"/>
    </row>
    <row r="245" spans="7:7" x14ac:dyDescent="0.2">
      <c r="G245" s="47"/>
    </row>
    <row r="246" spans="7:7" x14ac:dyDescent="0.2">
      <c r="G246" s="47"/>
    </row>
    <row r="247" spans="7:7" x14ac:dyDescent="0.2">
      <c r="G247" s="47"/>
    </row>
    <row r="248" spans="7:7" x14ac:dyDescent="0.2">
      <c r="G248" s="47"/>
    </row>
    <row r="249" spans="7:7" x14ac:dyDescent="0.2">
      <c r="G249" s="47"/>
    </row>
    <row r="250" spans="7:7" x14ac:dyDescent="0.2">
      <c r="G250" s="47"/>
    </row>
    <row r="251" spans="7:7" x14ac:dyDescent="0.2">
      <c r="G251" s="47"/>
    </row>
    <row r="252" spans="7:7" x14ac:dyDescent="0.2">
      <c r="G252" s="47"/>
    </row>
    <row r="253" spans="7:7" x14ac:dyDescent="0.2">
      <c r="G253" s="47"/>
    </row>
    <row r="254" spans="7:7" x14ac:dyDescent="0.2">
      <c r="G254" s="47"/>
    </row>
    <row r="255" spans="7:7" x14ac:dyDescent="0.2">
      <c r="G255" s="47"/>
    </row>
    <row r="256" spans="7:7" x14ac:dyDescent="0.2">
      <c r="G256" s="47"/>
    </row>
    <row r="257" spans="7:7" x14ac:dyDescent="0.2">
      <c r="G257" s="47"/>
    </row>
    <row r="258" spans="7:7" x14ac:dyDescent="0.2">
      <c r="G258" s="47"/>
    </row>
    <row r="259" spans="7:7" x14ac:dyDescent="0.2">
      <c r="G259" s="47"/>
    </row>
    <row r="260" spans="7:7" x14ac:dyDescent="0.2">
      <c r="G260" s="47"/>
    </row>
    <row r="261" spans="7:7" x14ac:dyDescent="0.2">
      <c r="G261" s="47"/>
    </row>
    <row r="262" spans="7:7" x14ac:dyDescent="0.2">
      <c r="G262" s="47"/>
    </row>
    <row r="263" spans="7:7" x14ac:dyDescent="0.2">
      <c r="G263" s="47"/>
    </row>
    <row r="264" spans="7:7" x14ac:dyDescent="0.2">
      <c r="G264" s="47"/>
    </row>
    <row r="265" spans="7:7" x14ac:dyDescent="0.2">
      <c r="G265" s="47"/>
    </row>
    <row r="266" spans="7:7" x14ac:dyDescent="0.2">
      <c r="G266" s="47"/>
    </row>
    <row r="267" spans="7:7" x14ac:dyDescent="0.2">
      <c r="G267" s="47"/>
    </row>
    <row r="268" spans="7:7" x14ac:dyDescent="0.2">
      <c r="G268" s="47"/>
    </row>
    <row r="269" spans="7:7" x14ac:dyDescent="0.2">
      <c r="G269" s="47"/>
    </row>
    <row r="270" spans="7:7" x14ac:dyDescent="0.2">
      <c r="G270" s="47"/>
    </row>
    <row r="271" spans="7:7" x14ac:dyDescent="0.2">
      <c r="G271" s="47"/>
    </row>
    <row r="272" spans="7:7" x14ac:dyDescent="0.2">
      <c r="G272" s="47"/>
    </row>
    <row r="273" spans="7:7" x14ac:dyDescent="0.2">
      <c r="G273" s="47"/>
    </row>
    <row r="274" spans="7:7" x14ac:dyDescent="0.2">
      <c r="G274" s="47"/>
    </row>
    <row r="275" spans="7:7" x14ac:dyDescent="0.2">
      <c r="G275" s="47"/>
    </row>
    <row r="276" spans="7:7" x14ac:dyDescent="0.2">
      <c r="G276" s="47"/>
    </row>
    <row r="277" spans="7:7" x14ac:dyDescent="0.2">
      <c r="G277" s="47"/>
    </row>
    <row r="278" spans="7:7" x14ac:dyDescent="0.2">
      <c r="G278" s="47"/>
    </row>
    <row r="279" spans="7:7" x14ac:dyDescent="0.2">
      <c r="G279" s="47"/>
    </row>
    <row r="280" spans="7:7" x14ac:dyDescent="0.2">
      <c r="G280" s="47"/>
    </row>
    <row r="281" spans="7:7" x14ac:dyDescent="0.2">
      <c r="G281" s="47"/>
    </row>
    <row r="282" spans="7:7" x14ac:dyDescent="0.2">
      <c r="G282" s="47"/>
    </row>
    <row r="283" spans="7:7" x14ac:dyDescent="0.2">
      <c r="G283" s="47"/>
    </row>
    <row r="284" spans="7:7" x14ac:dyDescent="0.2">
      <c r="G284" s="47"/>
    </row>
    <row r="285" spans="7:7" x14ac:dyDescent="0.2">
      <c r="G285" s="47"/>
    </row>
    <row r="286" spans="7:7" x14ac:dyDescent="0.2">
      <c r="G286" s="47"/>
    </row>
    <row r="287" spans="7:7" x14ac:dyDescent="0.2">
      <c r="G287" s="47"/>
    </row>
    <row r="288" spans="7:7" x14ac:dyDescent="0.2">
      <c r="G288" s="47"/>
    </row>
    <row r="289" spans="7:7" x14ac:dyDescent="0.2">
      <c r="G289" s="47"/>
    </row>
    <row r="290" spans="7:7" x14ac:dyDescent="0.2">
      <c r="G290" s="47"/>
    </row>
    <row r="291" spans="7:7" x14ac:dyDescent="0.2">
      <c r="G291" s="47"/>
    </row>
    <row r="292" spans="7:7" x14ac:dyDescent="0.2">
      <c r="G292" s="47"/>
    </row>
    <row r="293" spans="7:7" x14ac:dyDescent="0.2">
      <c r="G293" s="47"/>
    </row>
    <row r="294" spans="7:7" x14ac:dyDescent="0.2">
      <c r="G294" s="47"/>
    </row>
    <row r="295" spans="7:7" x14ac:dyDescent="0.2">
      <c r="G295" s="47"/>
    </row>
    <row r="296" spans="7:7" x14ac:dyDescent="0.2">
      <c r="G296" s="47"/>
    </row>
    <row r="297" spans="7:7" x14ac:dyDescent="0.2">
      <c r="G297" s="47"/>
    </row>
    <row r="298" spans="7:7" x14ac:dyDescent="0.2">
      <c r="G298" s="47"/>
    </row>
    <row r="299" spans="7:7" x14ac:dyDescent="0.2">
      <c r="G299" s="47"/>
    </row>
    <row r="300" spans="7:7" x14ac:dyDescent="0.2">
      <c r="G300" s="47"/>
    </row>
    <row r="301" spans="7:7" x14ac:dyDescent="0.2">
      <c r="G301" s="47"/>
    </row>
    <row r="302" spans="7:7" x14ac:dyDescent="0.2">
      <c r="G302" s="47"/>
    </row>
    <row r="303" spans="7:7" x14ac:dyDescent="0.2">
      <c r="G303" s="47"/>
    </row>
    <row r="304" spans="7:7" x14ac:dyDescent="0.2">
      <c r="G304" s="47"/>
    </row>
    <row r="305" spans="7:7" x14ac:dyDescent="0.2">
      <c r="G305" s="47"/>
    </row>
    <row r="306" spans="7:7" x14ac:dyDescent="0.2">
      <c r="G306" s="47"/>
    </row>
    <row r="307" spans="7:7" x14ac:dyDescent="0.2">
      <c r="G307" s="47"/>
    </row>
    <row r="308" spans="7:7" x14ac:dyDescent="0.2">
      <c r="G308" s="47"/>
    </row>
    <row r="309" spans="7:7" x14ac:dyDescent="0.2">
      <c r="G309" s="47"/>
    </row>
    <row r="310" spans="7:7" x14ac:dyDescent="0.2">
      <c r="G310" s="47"/>
    </row>
    <row r="311" spans="7:7" x14ac:dyDescent="0.2">
      <c r="G311" s="47"/>
    </row>
    <row r="312" spans="7:7" x14ac:dyDescent="0.2">
      <c r="G312" s="47"/>
    </row>
    <row r="313" spans="7:7" x14ac:dyDescent="0.2">
      <c r="G313" s="47"/>
    </row>
    <row r="314" spans="7:7" x14ac:dyDescent="0.2">
      <c r="G314" s="47"/>
    </row>
    <row r="315" spans="7:7" x14ac:dyDescent="0.2">
      <c r="G315" s="47"/>
    </row>
    <row r="316" spans="7:7" x14ac:dyDescent="0.2">
      <c r="G316" s="47"/>
    </row>
    <row r="317" spans="7:7" x14ac:dyDescent="0.2">
      <c r="G317" s="47"/>
    </row>
  </sheetData>
  <mergeCells count="4">
    <mergeCell ref="D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B4" sqref="B4:F4"/>
    </sheetView>
  </sheetViews>
  <sheetFormatPr defaultRowHeight="15" x14ac:dyDescent="0.25"/>
  <cols>
    <col min="1" max="1" width="62.5703125" customWidth="1"/>
    <col min="2" max="2" width="5.42578125" customWidth="1"/>
    <col min="3" max="3" width="6.140625" customWidth="1"/>
    <col min="4" max="4" width="13.7109375" customWidth="1"/>
    <col min="5" max="6" width="13.28515625" customWidth="1"/>
  </cols>
  <sheetData>
    <row r="1" spans="1:10" ht="14.1" customHeight="1" x14ac:dyDescent="0.25">
      <c r="A1" s="1"/>
      <c r="B1" s="105" t="s">
        <v>213</v>
      </c>
      <c r="C1" s="105"/>
      <c r="D1" s="105"/>
      <c r="E1" s="105"/>
      <c r="F1" s="105"/>
    </row>
    <row r="2" spans="1:10" ht="14.1" customHeight="1" x14ac:dyDescent="0.25">
      <c r="A2" s="1"/>
      <c r="B2" s="105" t="s">
        <v>214</v>
      </c>
      <c r="C2" s="105"/>
      <c r="D2" s="105"/>
      <c r="E2" s="105"/>
      <c r="F2" s="105"/>
    </row>
    <row r="3" spans="1:10" ht="14.1" customHeight="1" x14ac:dyDescent="0.25">
      <c r="A3" s="1"/>
      <c r="B3" s="105" t="s">
        <v>215</v>
      </c>
      <c r="C3" s="105"/>
      <c r="D3" s="105"/>
      <c r="E3" s="105"/>
      <c r="F3" s="105"/>
    </row>
    <row r="4" spans="1:10" ht="14.1" customHeight="1" x14ac:dyDescent="0.25">
      <c r="A4" s="1"/>
      <c r="B4" s="105" t="s">
        <v>318</v>
      </c>
      <c r="C4" s="105"/>
      <c r="D4" s="105"/>
      <c r="E4" s="105"/>
      <c r="F4" s="105"/>
    </row>
    <row r="5" spans="1:10" ht="12" customHeight="1" x14ac:dyDescent="0.25">
      <c r="A5" s="1"/>
      <c r="B5" s="51"/>
      <c r="C5" s="2"/>
      <c r="D5" s="52"/>
      <c r="E5" s="53"/>
    </row>
    <row r="6" spans="1:10" ht="16.5" customHeight="1" x14ac:dyDescent="0.25">
      <c r="A6" s="101" t="s">
        <v>216</v>
      </c>
      <c r="B6" s="101"/>
      <c r="C6" s="101"/>
      <c r="D6" s="101"/>
      <c r="E6" s="101"/>
      <c r="F6" s="101"/>
    </row>
    <row r="7" spans="1:10" ht="16.5" customHeight="1" x14ac:dyDescent="0.25">
      <c r="A7" s="101" t="s">
        <v>217</v>
      </c>
      <c r="B7" s="101"/>
      <c r="C7" s="101"/>
      <c r="D7" s="101"/>
      <c r="E7" s="101"/>
      <c r="F7" s="101"/>
    </row>
    <row r="8" spans="1:10" ht="13.7" customHeight="1" x14ac:dyDescent="0.25">
      <c r="A8" s="101" t="s">
        <v>218</v>
      </c>
      <c r="B8" s="101"/>
      <c r="C8" s="101"/>
      <c r="D8" s="101"/>
      <c r="E8" s="101"/>
      <c r="F8" s="101"/>
    </row>
    <row r="9" spans="1:10" ht="15.75" x14ac:dyDescent="0.25">
      <c r="A9" s="54" t="s">
        <v>15</v>
      </c>
      <c r="B9" s="55"/>
      <c r="C9" s="55"/>
      <c r="D9" s="55"/>
      <c r="E9" s="56"/>
    </row>
    <row r="10" spans="1:10" ht="42" customHeight="1" x14ac:dyDescent="0.25">
      <c r="A10" s="57" t="s">
        <v>3</v>
      </c>
      <c r="B10" s="58" t="s">
        <v>219</v>
      </c>
      <c r="C10" s="57" t="s">
        <v>220</v>
      </c>
      <c r="D10" s="59" t="s">
        <v>9</v>
      </c>
      <c r="E10" s="59" t="s">
        <v>10</v>
      </c>
      <c r="F10" s="59" t="s">
        <v>11</v>
      </c>
    </row>
    <row r="11" spans="1:10" ht="14.25" customHeight="1" x14ac:dyDescent="0.25">
      <c r="A11" s="60" t="s">
        <v>221</v>
      </c>
      <c r="B11" s="60" t="s">
        <v>12</v>
      </c>
      <c r="C11" s="60" t="s">
        <v>222</v>
      </c>
      <c r="D11" s="61">
        <v>4</v>
      </c>
      <c r="E11" s="60" t="s">
        <v>223</v>
      </c>
      <c r="F11" s="61">
        <v>5</v>
      </c>
    </row>
    <row r="12" spans="1:10" x14ac:dyDescent="0.25">
      <c r="A12" s="62" t="s">
        <v>224</v>
      </c>
      <c r="B12" s="63" t="s">
        <v>17</v>
      </c>
      <c r="C12" s="64"/>
      <c r="D12" s="65">
        <f>SUM(D13:D20)</f>
        <v>39292815.189599998</v>
      </c>
      <c r="E12" s="65">
        <f>SUM(E13:E20)</f>
        <v>39134264.189599998</v>
      </c>
      <c r="F12" s="65">
        <f>SUM(F13:F20)</f>
        <v>39133964.189599998</v>
      </c>
    </row>
    <row r="13" spans="1:10" ht="25.5" x14ac:dyDescent="0.25">
      <c r="A13" s="66" t="s">
        <v>225</v>
      </c>
      <c r="B13" s="67" t="s">
        <v>17</v>
      </c>
      <c r="C13" s="68" t="s">
        <v>20</v>
      </c>
      <c r="D13" s="69">
        <f>'[1]ВСРБМР 5'!G10</f>
        <v>1865604.0876800001</v>
      </c>
      <c r="E13" s="70">
        <f>D13</f>
        <v>1865604.0876800001</v>
      </c>
      <c r="F13" s="71">
        <f>D13</f>
        <v>1865604.0876800001</v>
      </c>
    </row>
    <row r="14" spans="1:10" s="72" customFormat="1" ht="38.25" x14ac:dyDescent="0.2">
      <c r="A14" s="66" t="s">
        <v>226</v>
      </c>
      <c r="B14" s="67" t="s">
        <v>17</v>
      </c>
      <c r="C14" s="68" t="s">
        <v>27</v>
      </c>
      <c r="D14" s="69">
        <f>'[1]ВСРБМР 5'!G14</f>
        <v>2065425.3235199999</v>
      </c>
      <c r="E14" s="69">
        <f>'[1]ВСРБМР 5'!H14</f>
        <v>2065425.3235199999</v>
      </c>
      <c r="F14" s="69">
        <f>'[1]ВСРБМР 5'!I14</f>
        <v>2065425.3235199999</v>
      </c>
      <c r="J14" s="72" t="s">
        <v>227</v>
      </c>
    </row>
    <row r="15" spans="1:10" ht="38.25" x14ac:dyDescent="0.25">
      <c r="A15" s="66" t="s">
        <v>228</v>
      </c>
      <c r="B15" s="67" t="s">
        <v>17</v>
      </c>
      <c r="C15" s="68" t="s">
        <v>31</v>
      </c>
      <c r="D15" s="69">
        <f>'[1]ВСРБМР 5'!G18</f>
        <v>13166106.713439999</v>
      </c>
      <c r="E15" s="69">
        <f>'[1]ВСРБМР 5'!H18</f>
        <v>13166106.713439999</v>
      </c>
      <c r="F15" s="69">
        <f>'[1]ВСРБМР 5'!I18</f>
        <v>13166106.713439999</v>
      </c>
    </row>
    <row r="16" spans="1:10" ht="25.5" x14ac:dyDescent="0.25">
      <c r="A16" s="73" t="s">
        <v>35</v>
      </c>
      <c r="B16" s="74" t="s">
        <v>17</v>
      </c>
      <c r="C16" s="75" t="s">
        <v>36</v>
      </c>
      <c r="D16" s="69">
        <f>'[1]ВСРБМР 5'!G23</f>
        <v>61200</v>
      </c>
      <c r="E16" s="69">
        <f>'[1]ВСРБМР 5'!H23</f>
        <v>2650</v>
      </c>
      <c r="F16" s="69">
        <f>'[1]ВСРБМР 5'!I23</f>
        <v>2350</v>
      </c>
    </row>
    <row r="17" spans="1:7" ht="25.5" x14ac:dyDescent="0.25">
      <c r="A17" s="66" t="s">
        <v>229</v>
      </c>
      <c r="B17" s="67" t="s">
        <v>17</v>
      </c>
      <c r="C17" s="68" t="s">
        <v>39</v>
      </c>
      <c r="D17" s="69">
        <f>'[1]ВСРБМР 5'!G25</f>
        <v>7548269.7257599998</v>
      </c>
      <c r="E17" s="69">
        <f>'[1]ВСРБМР 5'!H25</f>
        <v>7538269.7257599998</v>
      </c>
      <c r="F17" s="69">
        <f>'[1]ВСРБМР 5'!I25</f>
        <v>7538269.7257599998</v>
      </c>
    </row>
    <row r="18" spans="1:7" ht="18.75" x14ac:dyDescent="0.25">
      <c r="A18" s="66" t="s">
        <v>230</v>
      </c>
      <c r="B18" s="67" t="s">
        <v>17</v>
      </c>
      <c r="C18" s="68" t="s">
        <v>109</v>
      </c>
      <c r="D18" s="69"/>
      <c r="E18" s="76"/>
      <c r="F18" s="77"/>
    </row>
    <row r="19" spans="1:7" x14ac:dyDescent="0.25">
      <c r="A19" s="66" t="s">
        <v>45</v>
      </c>
      <c r="B19" s="67" t="s">
        <v>17</v>
      </c>
      <c r="C19" s="68" t="s">
        <v>46</v>
      </c>
      <c r="D19" s="69">
        <f>'[1]ВСРБМР 5'!G35</f>
        <v>2500000</v>
      </c>
      <c r="E19" s="69">
        <f>'[1]ВСРБМР 5'!H35</f>
        <v>2500000</v>
      </c>
      <c r="F19" s="69">
        <f>'[1]ВСРБМР 5'!I35</f>
        <v>2500000</v>
      </c>
    </row>
    <row r="20" spans="1:7" x14ac:dyDescent="0.25">
      <c r="A20" s="66" t="s">
        <v>231</v>
      </c>
      <c r="B20" s="67" t="s">
        <v>17</v>
      </c>
      <c r="C20" s="68" t="s">
        <v>51</v>
      </c>
      <c r="D20" s="69">
        <f>'[1]ВСРБМР 5'!G38</f>
        <v>12086209.339199999</v>
      </c>
      <c r="E20" s="69">
        <f>'[1]ВСРБМР 5'!H38</f>
        <v>11996208.339199999</v>
      </c>
      <c r="F20" s="69">
        <f>'[1]ВСРБМР 5'!I38</f>
        <v>11996208.339199999</v>
      </c>
    </row>
    <row r="21" spans="1:7" ht="18.75" x14ac:dyDescent="0.25">
      <c r="A21" s="62" t="s">
        <v>232</v>
      </c>
      <c r="B21" s="63" t="s">
        <v>20</v>
      </c>
      <c r="C21" s="64"/>
      <c r="D21" s="65"/>
      <c r="E21" s="76"/>
      <c r="F21" s="77"/>
      <c r="G21" t="s">
        <v>15</v>
      </c>
    </row>
    <row r="22" spans="1:7" ht="18.75" x14ac:dyDescent="0.25">
      <c r="A22" s="66" t="s">
        <v>233</v>
      </c>
      <c r="B22" s="67" t="s">
        <v>20</v>
      </c>
      <c r="C22" s="68" t="s">
        <v>31</v>
      </c>
      <c r="D22" s="69"/>
      <c r="E22" s="76"/>
      <c r="F22" s="77"/>
    </row>
    <row r="23" spans="1:7" ht="25.5" x14ac:dyDescent="0.25">
      <c r="A23" s="62" t="s">
        <v>71</v>
      </c>
      <c r="B23" s="63" t="s">
        <v>27</v>
      </c>
      <c r="C23" s="64"/>
      <c r="D23" s="65">
        <f>SUM(D24:D27)</f>
        <v>4719248.0707200002</v>
      </c>
      <c r="E23" s="65">
        <f>SUM(E24:E27)</f>
        <v>4349248.0707200002</v>
      </c>
      <c r="F23" s="65">
        <f>SUM(F24:F27)</f>
        <v>4349248.0707200002</v>
      </c>
    </row>
    <row r="24" spans="1:7" ht="18.75" x14ac:dyDescent="0.25">
      <c r="A24" s="66" t="s">
        <v>234</v>
      </c>
      <c r="B24" s="67" t="s">
        <v>27</v>
      </c>
      <c r="C24" s="68" t="s">
        <v>20</v>
      </c>
      <c r="D24" s="69"/>
      <c r="E24" s="76"/>
      <c r="F24" s="77"/>
    </row>
    <row r="25" spans="1:7" x14ac:dyDescent="0.25">
      <c r="A25" s="66" t="s">
        <v>235</v>
      </c>
      <c r="B25" s="67" t="s">
        <v>27</v>
      </c>
      <c r="C25" s="68" t="s">
        <v>31</v>
      </c>
      <c r="D25" s="69">
        <f>'[1]ВСРБМР 5'!G67</f>
        <v>0</v>
      </c>
      <c r="E25" s="69">
        <f>'[1]ВСРБМР 5'!H67</f>
        <v>0</v>
      </c>
      <c r="F25" s="69">
        <f>'[1]ВСРБМР 5'!I67</f>
        <v>0</v>
      </c>
    </row>
    <row r="26" spans="1:7" ht="25.5" x14ac:dyDescent="0.25">
      <c r="A26" s="66" t="s">
        <v>236</v>
      </c>
      <c r="B26" s="67" t="s">
        <v>27</v>
      </c>
      <c r="C26" s="68">
        <v>10</v>
      </c>
      <c r="D26" s="69">
        <f>'[1]ВСРБМР 5'!G70</f>
        <v>4719248.0707200002</v>
      </c>
      <c r="E26" s="69">
        <f>'[1]ВСРБМР 5'!H70</f>
        <v>4349248.0707200002</v>
      </c>
      <c r="F26" s="69">
        <f>'[1]ВСРБМР 5'!I70</f>
        <v>4349248.0707200002</v>
      </c>
    </row>
    <row r="27" spans="1:7" ht="25.5" x14ac:dyDescent="0.25">
      <c r="A27" s="66" t="s">
        <v>237</v>
      </c>
      <c r="B27" s="67" t="s">
        <v>27</v>
      </c>
      <c r="C27" s="68" t="s">
        <v>193</v>
      </c>
      <c r="D27" s="69"/>
      <c r="E27" s="76"/>
      <c r="F27" s="77"/>
    </row>
    <row r="28" spans="1:7" x14ac:dyDescent="0.25">
      <c r="A28" s="62" t="s">
        <v>238</v>
      </c>
      <c r="B28" s="63" t="s">
        <v>31</v>
      </c>
      <c r="C28" s="64"/>
      <c r="D28" s="65">
        <f>SUM(D29:D33)</f>
        <v>28969184.181759998</v>
      </c>
      <c r="E28" s="65">
        <f>SUM(E29:E33)</f>
        <v>26077184.181759998</v>
      </c>
      <c r="F28" s="65">
        <f>SUM(F29:F33)</f>
        <v>10346184.18176</v>
      </c>
    </row>
    <row r="29" spans="1:7" x14ac:dyDescent="0.25">
      <c r="A29" s="66" t="s">
        <v>87</v>
      </c>
      <c r="B29" s="67" t="s">
        <v>31</v>
      </c>
      <c r="C29" s="68" t="s">
        <v>17</v>
      </c>
      <c r="D29" s="69">
        <f>'[1]ВСРБМР 5'!G80</f>
        <v>0</v>
      </c>
      <c r="E29" s="69">
        <f>'[1]ВСРБМР 5'!H80</f>
        <v>0</v>
      </c>
      <c r="F29" s="69">
        <f>'[1]ВСРБМР 5'!I80</f>
        <v>0</v>
      </c>
    </row>
    <row r="30" spans="1:7" x14ac:dyDescent="0.25">
      <c r="A30" s="66" t="s">
        <v>91</v>
      </c>
      <c r="B30" s="67" t="s">
        <v>31</v>
      </c>
      <c r="C30" s="68" t="s">
        <v>36</v>
      </c>
      <c r="D30" s="69">
        <f>'[1]ВСРБМР 5'!G82</f>
        <v>2872584.1817600001</v>
      </c>
      <c r="E30" s="69">
        <f>'[1]ВСРБМР 5'!H82</f>
        <v>2872584.1817600001</v>
      </c>
      <c r="F30" s="69">
        <f>'[1]ВСРБМР 5'!I82</f>
        <v>2872584.1817600001</v>
      </c>
    </row>
    <row r="31" spans="1:7" ht="18.75" x14ac:dyDescent="0.25">
      <c r="A31" s="66" t="s">
        <v>239</v>
      </c>
      <c r="B31" s="67" t="s">
        <v>31</v>
      </c>
      <c r="C31" s="68" t="s">
        <v>143</v>
      </c>
      <c r="D31" s="69"/>
      <c r="E31" s="76"/>
      <c r="F31" s="77"/>
    </row>
    <row r="32" spans="1:7" x14ac:dyDescent="0.25">
      <c r="A32" s="66" t="s">
        <v>240</v>
      </c>
      <c r="B32" s="67" t="s">
        <v>31</v>
      </c>
      <c r="C32" s="68" t="s">
        <v>76</v>
      </c>
      <c r="D32" s="69">
        <f>'[1]ВСРБМР 5'!G88</f>
        <v>26096600</v>
      </c>
      <c r="E32" s="69">
        <f>'[1]ВСРБМР 5'!H88</f>
        <v>23204600</v>
      </c>
      <c r="F32" s="69">
        <f>'[1]ВСРБМР 5'!I88</f>
        <v>7473600</v>
      </c>
    </row>
    <row r="33" spans="1:6" ht="18.75" x14ac:dyDescent="0.25">
      <c r="A33" s="66" t="s">
        <v>241</v>
      </c>
      <c r="B33" s="67" t="s">
        <v>31</v>
      </c>
      <c r="C33" s="68" t="s">
        <v>183</v>
      </c>
      <c r="D33" s="69"/>
      <c r="E33" s="76"/>
      <c r="F33" s="77"/>
    </row>
    <row r="34" spans="1:6" x14ac:dyDescent="0.25">
      <c r="A34" s="62" t="s">
        <v>242</v>
      </c>
      <c r="B34" s="63" t="s">
        <v>36</v>
      </c>
      <c r="C34" s="64"/>
      <c r="D34" s="65">
        <f>SUM(D35:D38)</f>
        <v>33037129</v>
      </c>
      <c r="E34" s="65">
        <f>SUM(E35:E38)</f>
        <v>31918246</v>
      </c>
      <c r="F34" s="65">
        <f>SUM(F35:F38)</f>
        <v>23536580</v>
      </c>
    </row>
    <row r="35" spans="1:6" x14ac:dyDescent="0.25">
      <c r="A35" s="66" t="s">
        <v>243</v>
      </c>
      <c r="B35" s="74" t="s">
        <v>31</v>
      </c>
      <c r="C35" s="75" t="s">
        <v>76</v>
      </c>
      <c r="D35" s="69">
        <f>'[1]ВСРБМР 5'!G100</f>
        <v>0</v>
      </c>
      <c r="E35" s="70">
        <v>0</v>
      </c>
      <c r="F35" s="77">
        <v>0</v>
      </c>
    </row>
    <row r="36" spans="1:6" x14ac:dyDescent="0.25">
      <c r="A36" s="66" t="s">
        <v>244</v>
      </c>
      <c r="B36" s="67" t="s">
        <v>36</v>
      </c>
      <c r="C36" s="68" t="s">
        <v>20</v>
      </c>
      <c r="D36" s="69">
        <f>SUM('[1]ВСРБМР 5'!G94:G95)</f>
        <v>9117677</v>
      </c>
      <c r="E36" s="78">
        <f>'[1]ВСРБМР 5'!H94+'[1]ВСРБМР 5'!H95</f>
        <v>9117677</v>
      </c>
      <c r="F36" s="79">
        <f>'[1]ВСРБМР 5'!I94+'[1]ВСРБМР 5'!I95</f>
        <v>9117677</v>
      </c>
    </row>
    <row r="37" spans="1:6" x14ac:dyDescent="0.25">
      <c r="A37" s="66" t="s">
        <v>245</v>
      </c>
      <c r="B37" s="67" t="s">
        <v>36</v>
      </c>
      <c r="C37" s="68" t="s">
        <v>27</v>
      </c>
      <c r="D37" s="69">
        <f>SUM('[1]ВСРБМР 5'!G96:G97)+'[1]ВСРБМР 5'!G98</f>
        <v>15073409</v>
      </c>
      <c r="E37" s="69">
        <f>'[1]ВСРБМР 5'!H96+'[1]ВСРБМР 5'!H98</f>
        <v>13954526</v>
      </c>
      <c r="F37" s="69">
        <f>SUM('[1]ВСРБМР 5'!I96:I97)</f>
        <v>5572860</v>
      </c>
    </row>
    <row r="38" spans="1:6" x14ac:dyDescent="0.25">
      <c r="A38" s="66" t="s">
        <v>246</v>
      </c>
      <c r="B38" s="67" t="s">
        <v>36</v>
      </c>
      <c r="C38" s="68" t="s">
        <v>36</v>
      </c>
      <c r="D38" s="69">
        <f>'[1]ВСРБМР 5'!G99</f>
        <v>8846043</v>
      </c>
      <c r="E38" s="78">
        <f>'[1]ВСРБМР 5'!H99</f>
        <v>8846043</v>
      </c>
      <c r="F38" s="79">
        <f>'[1]ВСРБМР 5'!I99</f>
        <v>8846043</v>
      </c>
    </row>
    <row r="39" spans="1:6" x14ac:dyDescent="0.25">
      <c r="A39" s="62" t="s">
        <v>108</v>
      </c>
      <c r="B39" s="63" t="s">
        <v>109</v>
      </c>
      <c r="C39" s="64"/>
      <c r="D39" s="65">
        <f>SUM(D40:D44)</f>
        <v>905911504.65572524</v>
      </c>
      <c r="E39" s="65">
        <f>'[1]ВСРБМР 5'!H102</f>
        <v>869415530.32872522</v>
      </c>
      <c r="F39" s="65">
        <f>'[1]ВСРБМР 5'!I102</f>
        <v>902182604.32872522</v>
      </c>
    </row>
    <row r="40" spans="1:6" x14ac:dyDescent="0.25">
      <c r="A40" s="66" t="s">
        <v>247</v>
      </c>
      <c r="B40" s="67" t="s">
        <v>109</v>
      </c>
      <c r="C40" s="68" t="s">
        <v>17</v>
      </c>
      <c r="D40" s="69">
        <f>'[1]ВСРБМР 5'!G103</f>
        <v>205358731.5425652</v>
      </c>
      <c r="E40" s="69">
        <f>'[1]ВСРБМР 5'!H103</f>
        <v>193210987.63956517</v>
      </c>
      <c r="F40" s="69">
        <f>'[1]ВСРБМР 5'!I103</f>
        <v>225736738.63956517</v>
      </c>
    </row>
    <row r="41" spans="1:6" x14ac:dyDescent="0.25">
      <c r="A41" s="66" t="s">
        <v>117</v>
      </c>
      <c r="B41" s="67" t="s">
        <v>109</v>
      </c>
      <c r="C41" s="68" t="s">
        <v>20</v>
      </c>
      <c r="D41" s="69">
        <f>'[1]ВСРБМР 5'!G113</f>
        <v>611975121.90711999</v>
      </c>
      <c r="E41" s="69">
        <f>'[1]ВСРБМР 5'!H113</f>
        <v>589270270.48311996</v>
      </c>
      <c r="F41" s="69">
        <f>'[1]ВСРБМР 5'!I113</f>
        <v>589511593.48311996</v>
      </c>
    </row>
    <row r="42" spans="1:6" x14ac:dyDescent="0.25">
      <c r="A42" s="62" t="s">
        <v>248</v>
      </c>
      <c r="B42" s="63" t="s">
        <v>109</v>
      </c>
      <c r="C42" s="80" t="s">
        <v>27</v>
      </c>
      <c r="D42" s="65">
        <f>'[1]ВСРБМР 5'!G126</f>
        <v>78764830</v>
      </c>
      <c r="E42" s="65">
        <f>D42</f>
        <v>78764830</v>
      </c>
      <c r="F42" s="65">
        <f>E42</f>
        <v>78764830</v>
      </c>
    </row>
    <row r="43" spans="1:6" x14ac:dyDescent="0.25">
      <c r="A43" s="66" t="s">
        <v>132</v>
      </c>
      <c r="B43" s="67" t="s">
        <v>109</v>
      </c>
      <c r="C43" s="68" t="s">
        <v>109</v>
      </c>
      <c r="D43" s="69">
        <f>'[1]ВСРБМР 5'!G136</f>
        <v>0</v>
      </c>
      <c r="E43" s="69">
        <f>'[1]ВСРБМР 5'!H136</f>
        <v>0</v>
      </c>
      <c r="F43" s="69">
        <f>'[1]ВСРБМР 5'!I136</f>
        <v>0</v>
      </c>
    </row>
    <row r="44" spans="1:6" x14ac:dyDescent="0.25">
      <c r="A44" s="66" t="s">
        <v>135</v>
      </c>
      <c r="B44" s="67" t="s">
        <v>109</v>
      </c>
      <c r="C44" s="68" t="s">
        <v>76</v>
      </c>
      <c r="D44" s="69">
        <f>'[1]ВСРБМР 5'!G139</f>
        <v>9812821.2060400005</v>
      </c>
      <c r="E44" s="69">
        <f>'[1]ВСРБМР 5'!H139</f>
        <v>9812821.2060400005</v>
      </c>
      <c r="F44" s="69">
        <f>'[1]ВСРБМР 5'!I139</f>
        <v>9812821.2060400005</v>
      </c>
    </row>
    <row r="45" spans="1:6" x14ac:dyDescent="0.25">
      <c r="A45" s="62" t="s">
        <v>249</v>
      </c>
      <c r="B45" s="63" t="s">
        <v>143</v>
      </c>
      <c r="C45" s="64"/>
      <c r="D45" s="65">
        <f>SUM(D46:D47)</f>
        <v>30089013.8116</v>
      </c>
      <c r="E45" s="65">
        <f>SUM(E46:E47)</f>
        <v>30089013.8116</v>
      </c>
      <c r="F45" s="65">
        <f>SUM(F46:F47)</f>
        <v>30089013.8116</v>
      </c>
    </row>
    <row r="46" spans="1:6" x14ac:dyDescent="0.25">
      <c r="A46" s="66" t="s">
        <v>250</v>
      </c>
      <c r="B46" s="67" t="s">
        <v>143</v>
      </c>
      <c r="C46" s="68" t="s">
        <v>17</v>
      </c>
      <c r="D46" s="69">
        <f>'[1]ВСРБМР 5'!G150</f>
        <v>30089013.8116</v>
      </c>
      <c r="E46" s="69">
        <f>'[1]ВСРБМР 5'!H150</f>
        <v>30089013.8116</v>
      </c>
      <c r="F46" s="69">
        <f>'[1]ВСРБМР 5'!I150</f>
        <v>30089013.8116</v>
      </c>
    </row>
    <row r="47" spans="1:6" ht="18.75" x14ac:dyDescent="0.25">
      <c r="A47" s="66" t="s">
        <v>251</v>
      </c>
      <c r="B47" s="67" t="s">
        <v>143</v>
      </c>
      <c r="C47" s="68" t="s">
        <v>31</v>
      </c>
      <c r="D47" s="69"/>
      <c r="E47" s="76"/>
      <c r="F47" s="77"/>
    </row>
    <row r="48" spans="1:6" x14ac:dyDescent="0.25">
      <c r="A48" s="62" t="s">
        <v>252</v>
      </c>
      <c r="B48" s="63" t="s">
        <v>152</v>
      </c>
      <c r="C48" s="64"/>
      <c r="D48" s="65">
        <f>SUM(D49:D53)</f>
        <v>8240196</v>
      </c>
      <c r="E48" s="65">
        <f>SUM(E49:E53)</f>
        <v>8008354</v>
      </c>
      <c r="F48" s="65">
        <f>SUM(F49:F53)</f>
        <v>8008354</v>
      </c>
    </row>
    <row r="49" spans="1:6" x14ac:dyDescent="0.25">
      <c r="A49" s="66" t="s">
        <v>154</v>
      </c>
      <c r="B49" s="67" t="s">
        <v>152</v>
      </c>
      <c r="C49" s="68" t="s">
        <v>17</v>
      </c>
      <c r="D49" s="69">
        <f>'[1]ВСРБМР 5'!G164</f>
        <v>2297796</v>
      </c>
      <c r="E49" s="69">
        <f>'[1]ВСРБМР 5'!H164</f>
        <v>2297796</v>
      </c>
      <c r="F49" s="69">
        <f>'[1]ВСРБМР 5'!I164</f>
        <v>2297796</v>
      </c>
    </row>
    <row r="50" spans="1:6" ht="18.75" x14ac:dyDescent="0.25">
      <c r="A50" s="66" t="s">
        <v>253</v>
      </c>
      <c r="B50" s="67" t="s">
        <v>152</v>
      </c>
      <c r="C50" s="68" t="s">
        <v>20</v>
      </c>
      <c r="D50" s="69"/>
      <c r="E50" s="76"/>
      <c r="F50" s="77"/>
    </row>
    <row r="51" spans="1:6" x14ac:dyDescent="0.25">
      <c r="A51" s="66" t="s">
        <v>158</v>
      </c>
      <c r="B51" s="67" t="s">
        <v>152</v>
      </c>
      <c r="C51" s="68" t="s">
        <v>27</v>
      </c>
      <c r="D51" s="69">
        <f>'[1]ВСРБМР 5'!G167</f>
        <v>24000</v>
      </c>
      <c r="E51" s="69">
        <f>'[1]ВСРБМР 5'!H167</f>
        <v>24000</v>
      </c>
      <c r="F51" s="69">
        <f>'[1]ВСРБМР 5'!I167</f>
        <v>24000</v>
      </c>
    </row>
    <row r="52" spans="1:6" x14ac:dyDescent="0.25">
      <c r="A52" s="66" t="s">
        <v>161</v>
      </c>
      <c r="B52" s="67" t="s">
        <v>152</v>
      </c>
      <c r="C52" s="68" t="s">
        <v>31</v>
      </c>
      <c r="D52" s="69">
        <f>'[1]ВСРБМР 5'!G171</f>
        <v>5172400</v>
      </c>
      <c r="E52" s="69">
        <f>'[1]ВСРБМР 5'!H171</f>
        <v>4940558</v>
      </c>
      <c r="F52" s="69">
        <f>'[1]ВСРБМР 5'!I171</f>
        <v>4940558</v>
      </c>
    </row>
    <row r="53" spans="1:6" x14ac:dyDescent="0.25">
      <c r="A53" s="66" t="s">
        <v>254</v>
      </c>
      <c r="B53" s="67" t="s">
        <v>152</v>
      </c>
      <c r="C53" s="68" t="s">
        <v>39</v>
      </c>
      <c r="D53" s="69">
        <f>'[1]ВСРБМР 5'!G177</f>
        <v>746000</v>
      </c>
      <c r="E53" s="69">
        <f>'[1]ВСРБМР 5'!H177</f>
        <v>746000</v>
      </c>
      <c r="F53" s="69">
        <f>'[1]ВСРБМР 5'!I177</f>
        <v>746000</v>
      </c>
    </row>
    <row r="54" spans="1:6" x14ac:dyDescent="0.25">
      <c r="A54" s="62" t="s">
        <v>255</v>
      </c>
      <c r="B54" s="63" t="s">
        <v>46</v>
      </c>
      <c r="C54" s="64"/>
      <c r="D54" s="65">
        <f>SUM(D55:D57)</f>
        <v>8327314.3130800007</v>
      </c>
      <c r="E54" s="65">
        <f>SUM(E55:E57)</f>
        <v>7577314.3130800007</v>
      </c>
      <c r="F54" s="65">
        <f>SUM(F55:F57)</f>
        <v>7577314.3130800007</v>
      </c>
    </row>
    <row r="55" spans="1:6" x14ac:dyDescent="0.25">
      <c r="A55" s="66" t="s">
        <v>174</v>
      </c>
      <c r="B55" s="67" t="s">
        <v>46</v>
      </c>
      <c r="C55" s="68" t="s">
        <v>17</v>
      </c>
      <c r="D55" s="69">
        <f>'[1]ВСРБМР 5'!G184+'[1]ВСРБМР 5'!G182</f>
        <v>6258080.0030000005</v>
      </c>
      <c r="E55" s="69">
        <f>'[1]ВСРБМР 5'!H184+'[1]ВСРБМР 5'!H182</f>
        <v>6258080.0030000005</v>
      </c>
      <c r="F55" s="69">
        <f>'[1]ВСРБМР 5'!I184+'[1]ВСРБМР 5'!I182</f>
        <v>6258080.0030000005</v>
      </c>
    </row>
    <row r="56" spans="1:6" ht="18.75" x14ac:dyDescent="0.25">
      <c r="A56" s="66" t="s">
        <v>256</v>
      </c>
      <c r="B56" s="67" t="s">
        <v>46</v>
      </c>
      <c r="C56" s="68" t="s">
        <v>20</v>
      </c>
      <c r="D56" s="69"/>
      <c r="E56" s="76"/>
      <c r="F56" s="77"/>
    </row>
    <row r="57" spans="1:6" x14ac:dyDescent="0.25">
      <c r="A57" s="66" t="s">
        <v>257</v>
      </c>
      <c r="B57" s="67" t="s">
        <v>46</v>
      </c>
      <c r="C57" s="68" t="s">
        <v>36</v>
      </c>
      <c r="D57" s="69">
        <f>'[1]ВСРБМР 5'!G189</f>
        <v>2069234.31008</v>
      </c>
      <c r="E57" s="69">
        <f>'[1]ВСРБМР 5'!H189</f>
        <v>1319234.31008</v>
      </c>
      <c r="F57" s="69">
        <f>'[1]ВСРБМР 5'!I189</f>
        <v>1319234.31008</v>
      </c>
    </row>
    <row r="58" spans="1:6" x14ac:dyDescent="0.25">
      <c r="A58" s="62" t="s">
        <v>258</v>
      </c>
      <c r="B58" s="63" t="s">
        <v>183</v>
      </c>
      <c r="C58" s="64"/>
      <c r="D58" s="65">
        <f>SUM(D59:D60)</f>
        <v>6733201.5577999987</v>
      </c>
      <c r="E58" s="65">
        <f>SUM(E59:E60)</f>
        <v>6733201.5577999987</v>
      </c>
      <c r="F58" s="65">
        <f>SUM(F59:F60)</f>
        <v>6629803.3927999996</v>
      </c>
    </row>
    <row r="59" spans="1:6" x14ac:dyDescent="0.25">
      <c r="A59" s="66" t="s">
        <v>259</v>
      </c>
      <c r="B59" s="67" t="s">
        <v>183</v>
      </c>
      <c r="C59" s="75" t="s">
        <v>17</v>
      </c>
      <c r="D59" s="69">
        <f>'[1]ВСРБМР 5'!G196</f>
        <v>2327895.0288</v>
      </c>
      <c r="E59" s="69">
        <f>'[1]ВСРБМР 5'!H196</f>
        <v>2327895.0288</v>
      </c>
      <c r="F59" s="69">
        <f>'[1]ВСРБМР 5'!I196</f>
        <v>2327895.0288</v>
      </c>
    </row>
    <row r="60" spans="1:6" x14ac:dyDescent="0.25">
      <c r="A60" s="66" t="s">
        <v>259</v>
      </c>
      <c r="B60" s="67">
        <v>12</v>
      </c>
      <c r="C60" s="75" t="s">
        <v>20</v>
      </c>
      <c r="D60" s="69">
        <f>'[1]ВСРБМР 5'!G201</f>
        <v>4405306.5289999992</v>
      </c>
      <c r="E60" s="69">
        <f>'[1]ВСРБМР 5'!H201</f>
        <v>4405306.5289999992</v>
      </c>
      <c r="F60" s="69">
        <f>'[1]ВСРБМР 5'!I201</f>
        <v>4301908.3640000001</v>
      </c>
    </row>
    <row r="61" spans="1:6" ht="25.5" x14ac:dyDescent="0.25">
      <c r="A61" s="81" t="s">
        <v>260</v>
      </c>
      <c r="B61" s="63">
        <v>13</v>
      </c>
      <c r="C61" s="75"/>
      <c r="D61" s="65">
        <f>SUM(D62)</f>
        <v>11500</v>
      </c>
      <c r="E61" s="65">
        <f>SUM(E62)</f>
        <v>11500</v>
      </c>
      <c r="F61" s="65">
        <f>SUM(F62)</f>
        <v>7700</v>
      </c>
    </row>
    <row r="62" spans="1:6" x14ac:dyDescent="0.25">
      <c r="A62" s="82" t="s">
        <v>261</v>
      </c>
      <c r="B62" s="67">
        <v>13</v>
      </c>
      <c r="C62" s="75" t="s">
        <v>17</v>
      </c>
      <c r="D62" s="69">
        <f>'[1]ВСРБМР 5'!G205</f>
        <v>11500</v>
      </c>
      <c r="E62" s="69">
        <f>'[1]ВСРБМР 5'!H205</f>
        <v>11500</v>
      </c>
      <c r="F62" s="69">
        <f>'[1]ВСРБМР 5'!I205</f>
        <v>7700</v>
      </c>
    </row>
    <row r="63" spans="1:6" ht="38.25" x14ac:dyDescent="0.25">
      <c r="A63" s="62" t="s">
        <v>262</v>
      </c>
      <c r="B63" s="63" t="s">
        <v>193</v>
      </c>
      <c r="C63" s="64"/>
      <c r="D63" s="65">
        <f>SUM(D64:D65)</f>
        <v>120542999.52118102</v>
      </c>
      <c r="E63" s="65">
        <f>SUM(E64:E65)</f>
        <v>88205999.521181002</v>
      </c>
      <c r="F63" s="65">
        <f>SUM(F64:F65)</f>
        <v>82662999.521181002</v>
      </c>
    </row>
    <row r="64" spans="1:6" ht="25.5" x14ac:dyDescent="0.25">
      <c r="A64" s="66" t="s">
        <v>263</v>
      </c>
      <c r="B64" s="67" t="s">
        <v>193</v>
      </c>
      <c r="C64" s="68" t="s">
        <v>17</v>
      </c>
      <c r="D64" s="69">
        <f>'[1]ВСРБМР 5'!G207</f>
        <v>101126000.00000001</v>
      </c>
      <c r="E64" s="69">
        <f>'[1]ВСРБМР 5'!H207</f>
        <v>65898000</v>
      </c>
      <c r="F64" s="69">
        <f>'[1]ВСРБМР 5'!I207</f>
        <v>62603000</v>
      </c>
    </row>
    <row r="65" spans="1:9" x14ac:dyDescent="0.25">
      <c r="A65" s="66" t="s">
        <v>199</v>
      </c>
      <c r="B65" s="74" t="s">
        <v>193</v>
      </c>
      <c r="C65" s="75" t="s">
        <v>27</v>
      </c>
      <c r="D65" s="69">
        <f>'[1]ВСРБМР 5'!G210</f>
        <v>19416999.521181002</v>
      </c>
      <c r="E65" s="69">
        <f>'[1]ВСРБМР 5'!H210</f>
        <v>22307999.521181002</v>
      </c>
      <c r="F65" s="69">
        <f>'[1]ВСРБМР 5'!I210</f>
        <v>20059999.521181002</v>
      </c>
    </row>
    <row r="66" spans="1:9" x14ac:dyDescent="0.25">
      <c r="A66" s="102" t="s">
        <v>264</v>
      </c>
      <c r="B66" s="103"/>
      <c r="C66" s="104"/>
      <c r="D66" s="65">
        <f>SUM(D12,D21,D23,D28,D34,D39,D45,D48,D54,D58,D61,D63)</f>
        <v>1185874106.3014662</v>
      </c>
      <c r="E66" s="65">
        <f>SUM(E12,E21,E23,E28,E34,E39,E45,E48,E54,E58,E61,E63)</f>
        <v>1111519855.9744663</v>
      </c>
      <c r="F66" s="65">
        <f>SUM(F12,F21,F23,F28,F34,F39,F45,F48,F54,F58,F61,F63)</f>
        <v>1114523765.8094661</v>
      </c>
      <c r="I66" t="s">
        <v>15</v>
      </c>
    </row>
    <row r="68" spans="1:9" x14ac:dyDescent="0.25">
      <c r="D68" s="83">
        <f>'[1]ВСРБМР 5'!G217-'[1]РазПодр №4'!D66</f>
        <v>0</v>
      </c>
    </row>
  </sheetData>
  <mergeCells count="8">
    <mergeCell ref="A8:F8"/>
    <mergeCell ref="A66:C66"/>
    <mergeCell ref="B1:F1"/>
    <mergeCell ref="B2:F2"/>
    <mergeCell ref="B3:F3"/>
    <mergeCell ref="B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workbookViewId="0">
      <selection activeCell="D31" sqref="D31"/>
    </sheetView>
  </sheetViews>
  <sheetFormatPr defaultColWidth="8.7109375" defaultRowHeight="15" x14ac:dyDescent="0.25"/>
  <cols>
    <col min="1" max="1" width="3.140625" style="85" customWidth="1"/>
    <col min="2" max="2" width="31" style="85" customWidth="1"/>
    <col min="3" max="3" width="10.85546875" style="85" customWidth="1"/>
    <col min="4" max="4" width="11.5703125" style="85" customWidth="1"/>
    <col min="5" max="5" width="8" style="85" customWidth="1"/>
    <col min="6" max="6" width="10.7109375" style="85" customWidth="1"/>
    <col min="7" max="8" width="9.140625" style="85" customWidth="1"/>
    <col min="9" max="9" width="14.140625" style="85" customWidth="1"/>
    <col min="10" max="16384" width="8.7109375" style="85"/>
  </cols>
  <sheetData>
    <row r="2" spans="1:12" s="84" customFormat="1" ht="15.75" x14ac:dyDescent="0.25">
      <c r="B2" s="110" t="s">
        <v>265</v>
      </c>
      <c r="C2" s="110"/>
      <c r="D2" s="110"/>
      <c r="E2" s="110"/>
      <c r="F2" s="110"/>
      <c r="G2" s="110"/>
      <c r="H2" s="110"/>
      <c r="I2" s="110"/>
    </row>
    <row r="3" spans="1:12" s="84" customFormat="1" ht="15.75" x14ac:dyDescent="0.25">
      <c r="B3" s="110" t="s">
        <v>266</v>
      </c>
      <c r="C3" s="110"/>
      <c r="D3" s="110"/>
      <c r="E3" s="110"/>
      <c r="F3" s="110"/>
      <c r="G3" s="110"/>
      <c r="H3" s="110"/>
      <c r="I3" s="110"/>
    </row>
    <row r="4" spans="1:12" x14ac:dyDescent="0.25">
      <c r="C4" s="111"/>
      <c r="D4" s="111"/>
      <c r="E4" s="111"/>
      <c r="F4" s="111"/>
      <c r="G4" s="111"/>
      <c r="H4" s="86"/>
    </row>
    <row r="6" spans="1:12" s="3" customFormat="1" ht="12.75" x14ac:dyDescent="0.2">
      <c r="A6" s="112"/>
      <c r="B6" s="113" t="s">
        <v>267</v>
      </c>
      <c r="C6" s="109" t="s">
        <v>268</v>
      </c>
      <c r="D6" s="109" t="s">
        <v>269</v>
      </c>
      <c r="E6" s="114" t="s">
        <v>270</v>
      </c>
      <c r="F6" s="109" t="s">
        <v>271</v>
      </c>
      <c r="G6" s="109" t="s">
        <v>272</v>
      </c>
      <c r="H6" s="106" t="s">
        <v>273</v>
      </c>
      <c r="I6" s="109" t="s">
        <v>274</v>
      </c>
    </row>
    <row r="7" spans="1:12" s="3" customFormat="1" ht="12.75" x14ac:dyDescent="0.2">
      <c r="A7" s="112"/>
      <c r="B7" s="113"/>
      <c r="C7" s="109"/>
      <c r="D7" s="109"/>
      <c r="E7" s="114"/>
      <c r="F7" s="109"/>
      <c r="G7" s="109"/>
      <c r="H7" s="107"/>
      <c r="I7" s="109"/>
    </row>
    <row r="8" spans="1:12" s="3" customFormat="1" ht="12.75" x14ac:dyDescent="0.2">
      <c r="A8" s="112"/>
      <c r="B8" s="113"/>
      <c r="C8" s="109"/>
      <c r="D8" s="109"/>
      <c r="E8" s="114"/>
      <c r="F8" s="109"/>
      <c r="G8" s="109"/>
      <c r="H8" s="107"/>
      <c r="I8" s="109"/>
    </row>
    <row r="9" spans="1:12" s="3" customFormat="1" ht="12.75" x14ac:dyDescent="0.2">
      <c r="A9" s="112"/>
      <c r="B9" s="113"/>
      <c r="C9" s="109"/>
      <c r="D9" s="109"/>
      <c r="E9" s="114"/>
      <c r="F9" s="109"/>
      <c r="G9" s="109"/>
      <c r="H9" s="107"/>
      <c r="I9" s="109"/>
    </row>
    <row r="10" spans="1:12" s="3" customFormat="1" ht="12.75" x14ac:dyDescent="0.2">
      <c r="A10" s="112"/>
      <c r="B10" s="113"/>
      <c r="C10" s="109"/>
      <c r="D10" s="109"/>
      <c r="E10" s="114"/>
      <c r="F10" s="109"/>
      <c r="G10" s="109"/>
      <c r="H10" s="107"/>
      <c r="I10" s="109"/>
    </row>
    <row r="11" spans="1:12" s="3" customFormat="1" ht="12.75" x14ac:dyDescent="0.2">
      <c r="A11" s="112"/>
      <c r="B11" s="113"/>
      <c r="C11" s="109"/>
      <c r="D11" s="109"/>
      <c r="E11" s="114"/>
      <c r="F11" s="109"/>
      <c r="G11" s="109"/>
      <c r="H11" s="107"/>
      <c r="I11" s="109"/>
    </row>
    <row r="12" spans="1:12" s="3" customFormat="1" ht="12.75" x14ac:dyDescent="0.2">
      <c r="A12" s="112"/>
      <c r="B12" s="113"/>
      <c r="C12" s="109"/>
      <c r="D12" s="109"/>
      <c r="E12" s="114"/>
      <c r="F12" s="109"/>
      <c r="G12" s="109"/>
      <c r="H12" s="107"/>
      <c r="I12" s="109"/>
    </row>
    <row r="13" spans="1:12" s="87" customFormat="1" ht="11.25" x14ac:dyDescent="0.2">
      <c r="A13" s="112"/>
      <c r="B13" s="113"/>
      <c r="C13" s="109"/>
      <c r="D13" s="109"/>
      <c r="E13" s="114"/>
      <c r="F13" s="109"/>
      <c r="G13" s="109"/>
      <c r="H13" s="108"/>
      <c r="I13" s="109"/>
      <c r="L13" s="87" t="s">
        <v>15</v>
      </c>
    </row>
    <row r="14" spans="1:12" s="87" customFormat="1" ht="12.75" x14ac:dyDescent="0.2">
      <c r="A14" s="88"/>
      <c r="B14" s="89"/>
      <c r="C14" s="90"/>
      <c r="D14" s="90"/>
      <c r="E14" s="90"/>
      <c r="F14" s="90"/>
      <c r="G14" s="90"/>
      <c r="H14" s="90"/>
      <c r="I14" s="90"/>
    </row>
    <row r="15" spans="1:12" s="3" customFormat="1" ht="12.75" x14ac:dyDescent="0.2">
      <c r="A15" s="43">
        <v>1</v>
      </c>
      <c r="B15" s="48" t="s">
        <v>275</v>
      </c>
      <c r="C15" s="16">
        <f>'[1]учительство  '!BO5+[1]Школы!BB10+('[1]учительство  '!BH5*1.302)+[1]Школы!CT10</f>
        <v>28552194.754844449</v>
      </c>
      <c r="D15" s="16">
        <f>[1]Школы!AJ10</f>
        <v>2953356.0844444446</v>
      </c>
      <c r="E15" s="16">
        <f>[1]Школы!DF10</f>
        <v>0</v>
      </c>
      <c r="F15" s="16">
        <f>[1]Школы!AK10</f>
        <v>97051.991999999998</v>
      </c>
      <c r="G15" s="16">
        <f>[1]Школы!AL10</f>
        <v>0</v>
      </c>
      <c r="H15" s="16"/>
      <c r="I15" s="91">
        <f>SUM(C15,D15,F15,G15,H15)</f>
        <v>31602602.831288893</v>
      </c>
    </row>
    <row r="16" spans="1:12" s="3" customFormat="1" ht="12.75" x14ac:dyDescent="0.2">
      <c r="A16" s="43">
        <v>2</v>
      </c>
      <c r="B16" s="48" t="s">
        <v>276</v>
      </c>
      <c r="C16" s="16">
        <f>'[1]учительство  '!BO6+[1]Школы!BB11+('[1]учительство  '!BH6*1.302)+[1]Школы!CT11</f>
        <v>30472730.942711115</v>
      </c>
      <c r="D16" s="16">
        <f>[1]Школы!AJ11</f>
        <v>2985634.2311111167</v>
      </c>
      <c r="E16" s="16">
        <f>[1]Школы!DF11</f>
        <v>0</v>
      </c>
      <c r="F16" s="16">
        <f>[1]Школы!AK11</f>
        <v>158846.21400000001</v>
      </c>
      <c r="G16" s="16">
        <f>[1]Школы!AL11</f>
        <v>0</v>
      </c>
      <c r="H16" s="16">
        <f>'[1]Муниц прогр №0'!H58</f>
        <v>0</v>
      </c>
      <c r="I16" s="91">
        <f t="shared" ref="I16:I69" si="0">SUM(C16,D16,F16,G16,H16)</f>
        <v>33617211.387822233</v>
      </c>
    </row>
    <row r="17" spans="1:13" s="3" customFormat="1" ht="12.75" x14ac:dyDescent="0.2">
      <c r="A17" s="43">
        <v>3</v>
      </c>
      <c r="B17" s="48" t="s">
        <v>277</v>
      </c>
      <c r="C17" s="16">
        <f>'[1]учительство  '!BO7+[1]Школы!BB12+('[1]учительство  '!BH7*1.302)+[1]Школы!CT12</f>
        <v>29408555.721844446</v>
      </c>
      <c r="D17" s="16">
        <f>[1]Школы!AJ12</f>
        <v>3056091.1644444428</v>
      </c>
      <c r="E17" s="16">
        <f>[1]Школы!DF12</f>
        <v>0</v>
      </c>
      <c r="F17" s="16">
        <f>[1]Школы!AK12</f>
        <v>431564.48900000006</v>
      </c>
      <c r="G17" s="16">
        <f>[1]Школы!AL12</f>
        <v>0</v>
      </c>
      <c r="H17" s="16">
        <f>'[1]Муниц прогр №0'!H59</f>
        <v>0</v>
      </c>
      <c r="I17" s="91">
        <f t="shared" si="0"/>
        <v>32896211.375288889</v>
      </c>
    </row>
    <row r="18" spans="1:13" s="3" customFormat="1" ht="12.75" x14ac:dyDescent="0.2">
      <c r="A18" s="43">
        <v>4</v>
      </c>
      <c r="B18" s="48" t="s">
        <v>278</v>
      </c>
      <c r="C18" s="16">
        <f>'[1]учительство  '!BO8+[1]Школы!BB13+('[1]учительство  '!BH8*1.302)+[1]Школы!CT13</f>
        <v>30243537.495999999</v>
      </c>
      <c r="D18" s="16">
        <f>[1]Школы!AJ13</f>
        <v>4545564.6300000027</v>
      </c>
      <c r="E18" s="16">
        <f>[1]Школы!DF13</f>
        <v>0</v>
      </c>
      <c r="F18" s="16">
        <f>[1]Школы!AK13</f>
        <v>243788.01900000003</v>
      </c>
      <c r="G18" s="16">
        <f>[1]Школы!AL13</f>
        <v>0</v>
      </c>
      <c r="H18" s="16"/>
      <c r="I18" s="91">
        <f t="shared" si="0"/>
        <v>35032890.145000003</v>
      </c>
    </row>
    <row r="19" spans="1:13" s="3" customFormat="1" ht="12.75" x14ac:dyDescent="0.2">
      <c r="A19" s="43">
        <v>5</v>
      </c>
      <c r="B19" s="48" t="s">
        <v>279</v>
      </c>
      <c r="C19" s="16">
        <f>'[1]учительство  '!BO9+[1]Школы!BB14+('[1]учительство  '!BH9*1.302)+[1]Школы!CT14</f>
        <v>11524944.455177777</v>
      </c>
      <c r="D19" s="16">
        <f>[1]Школы!AJ14</f>
        <v>861737.68777777813</v>
      </c>
      <c r="E19" s="16">
        <f>[1]Школы!DF14</f>
        <v>0</v>
      </c>
      <c r="F19" s="16">
        <f>[1]Школы!AK14</f>
        <v>70443.418000000005</v>
      </c>
      <c r="G19" s="16">
        <f>[1]Школы!AL14</f>
        <v>0</v>
      </c>
      <c r="H19" s="16">
        <f>'[1]Муниц прогр №0'!H38</f>
        <v>0</v>
      </c>
      <c r="I19" s="91">
        <f t="shared" si="0"/>
        <v>12457125.560955554</v>
      </c>
    </row>
    <row r="20" spans="1:13" x14ac:dyDescent="0.25">
      <c r="A20" s="43">
        <v>6</v>
      </c>
      <c r="B20" s="48" t="s">
        <v>280</v>
      </c>
      <c r="C20" s="16">
        <f>'[1]учительство  '!BO10+[1]Школы!BB15+('[1]учительство  '!BH10*1.302)+[1]Школы!CT15</f>
        <v>39724819.188222215</v>
      </c>
      <c r="D20" s="16">
        <f>[1]Школы!AJ15</f>
        <v>5543234.5182222202</v>
      </c>
      <c r="E20" s="16">
        <f>[1]Школы!DF15</f>
        <v>0</v>
      </c>
      <c r="F20" s="16">
        <f>[1]Школы!AK15</f>
        <v>259920.43800000002</v>
      </c>
      <c r="G20" s="16">
        <f>[1]Школы!AL15</f>
        <v>0</v>
      </c>
      <c r="H20" s="16">
        <f>'[1]Муниц прогр №0'!H66</f>
        <v>0</v>
      </c>
      <c r="I20" s="91">
        <f t="shared" si="0"/>
        <v>45527974.144444436</v>
      </c>
    </row>
    <row r="21" spans="1:13" x14ac:dyDescent="0.25">
      <c r="A21" s="43">
        <v>7</v>
      </c>
      <c r="B21" s="48" t="s">
        <v>281</v>
      </c>
      <c r="C21" s="16">
        <f>'[1]учительство  '!BO11+[1]Школы!BB16+('[1]учительство  '!BH11*1.302)+[1]Школы!CT16</f>
        <v>39418924.548311114</v>
      </c>
      <c r="D21" s="16">
        <f>[1]Школы!AJ16</f>
        <v>5048287.0371111035</v>
      </c>
      <c r="E21" s="16">
        <f>[1]Школы!DF16</f>
        <v>0</v>
      </c>
      <c r="F21" s="16">
        <f>[1]Школы!AK16</f>
        <v>482977.48</v>
      </c>
      <c r="G21" s="16">
        <f>[1]Школы!AL16</f>
        <v>0</v>
      </c>
      <c r="H21" s="16">
        <f>'[1]Муниц прогр №0'!H67+'[1]Муниц прогр №0'!H41</f>
        <v>0</v>
      </c>
      <c r="I21" s="91">
        <f t="shared" si="0"/>
        <v>44950189.065422215</v>
      </c>
    </row>
    <row r="22" spans="1:13" x14ac:dyDescent="0.25">
      <c r="A22" s="43">
        <v>8</v>
      </c>
      <c r="B22" s="48" t="s">
        <v>282</v>
      </c>
      <c r="C22" s="16">
        <f>'[1]учительство  '!BO12+[1]Школы!BB17+('[1]учительство  '!BH12*1.302)+[1]Школы!CT17</f>
        <v>16470512.627066666</v>
      </c>
      <c r="D22" s="16">
        <f>[1]Школы!AJ17</f>
        <v>1604037.3886666652</v>
      </c>
      <c r="E22" s="16">
        <f>[1]Школы!DF17</f>
        <v>0</v>
      </c>
      <c r="F22" s="16">
        <f>[1]Школы!AK17</f>
        <v>1049991.4810000001</v>
      </c>
      <c r="G22" s="16">
        <f>[1]Школы!AL17</f>
        <v>0</v>
      </c>
      <c r="H22" s="16">
        <f>'[1]Муниц прогр №0'!H68</f>
        <v>0</v>
      </c>
      <c r="I22" s="91">
        <f t="shared" si="0"/>
        <v>19124541.49673333</v>
      </c>
    </row>
    <row r="23" spans="1:13" x14ac:dyDescent="0.25">
      <c r="A23" s="43">
        <v>9</v>
      </c>
      <c r="B23" s="48" t="s">
        <v>283</v>
      </c>
      <c r="C23" s="16">
        <f>'[1]учительство  '!BO13+[1]Школы!BB18+('[1]учительство  '!BH13*1.302)+[1]Школы!CT18</f>
        <v>25215750.831799995</v>
      </c>
      <c r="D23" s="16">
        <f>[1]Школы!AJ18</f>
        <v>3212153.2199999988</v>
      </c>
      <c r="E23" s="16">
        <f>[1]Школы!DF18</f>
        <v>0</v>
      </c>
      <c r="F23" s="16">
        <f>[1]Школы!AK18</f>
        <v>373723.40800000005</v>
      </c>
      <c r="G23" s="16">
        <f>[1]Школы!AL18</f>
        <v>0</v>
      </c>
      <c r="H23" s="16">
        <f>'[1]Муниц прогр №0'!H61</f>
        <v>0</v>
      </c>
      <c r="I23" s="91">
        <f t="shared" si="0"/>
        <v>28801627.459799994</v>
      </c>
    </row>
    <row r="24" spans="1:13" x14ac:dyDescent="0.25">
      <c r="A24" s="43">
        <v>10</v>
      </c>
      <c r="B24" s="48" t="s">
        <v>284</v>
      </c>
      <c r="C24" s="16">
        <f>'[1]учительство  '!BO14+[1]Школы!BB19+('[1]учительство  '!BH14*1.302)+[1]Школы!CT19</f>
        <v>34550712.126377776</v>
      </c>
      <c r="D24" s="16">
        <f>[1]Школы!AJ19</f>
        <v>3953651.4677777737</v>
      </c>
      <c r="E24" s="16">
        <f>[1]Школы!DF19</f>
        <v>0</v>
      </c>
      <c r="F24" s="16">
        <f>[1]Школы!AK19</f>
        <v>101638.86599999999</v>
      </c>
      <c r="G24" s="16">
        <f>[1]Школы!AL19</f>
        <v>0</v>
      </c>
      <c r="H24" s="16">
        <f>'[1]Муниц прогр №0'!H27+'[1]Муниц прогр №0'!H70+'[1]Муниц прогр №0'!H33</f>
        <v>0</v>
      </c>
      <c r="I24" s="91">
        <f t="shared" si="0"/>
        <v>38606002.460155547</v>
      </c>
    </row>
    <row r="25" spans="1:13" x14ac:dyDescent="0.25">
      <c r="A25" s="43">
        <v>11</v>
      </c>
      <c r="B25" s="48" t="s">
        <v>285</v>
      </c>
      <c r="C25" s="16">
        <f>'[1]учительство  '!BO15+[1]Школы!BB20+('[1]учительство  '!BH15*1.302)+[1]Школы!CT20</f>
        <v>15151706.703844447</v>
      </c>
      <c r="D25" s="16">
        <f>[1]Школы!AJ20</f>
        <v>1554060.4144444447</v>
      </c>
      <c r="E25" s="16">
        <f>[1]Школы!DF20</f>
        <v>0</v>
      </c>
      <c r="F25" s="16">
        <f>[1]Школы!AK20</f>
        <v>304820.78000000003</v>
      </c>
      <c r="G25" s="16">
        <f>[1]Школы!AL20</f>
        <v>0</v>
      </c>
      <c r="H25" s="16">
        <f>'[1]Муниц прогр №0'!H35</f>
        <v>0</v>
      </c>
      <c r="I25" s="91">
        <f t="shared" si="0"/>
        <v>17010587.898288891</v>
      </c>
      <c r="M25" s="85" t="s">
        <v>15</v>
      </c>
    </row>
    <row r="26" spans="1:13" x14ac:dyDescent="0.25">
      <c r="A26" s="43">
        <v>12</v>
      </c>
      <c r="B26" s="48" t="s">
        <v>286</v>
      </c>
      <c r="C26" s="16">
        <f>'[1]учительство  '!BO16+[1]Школы!BB21+('[1]учительство  '!BH16*1.302)+[1]Школы!CT21</f>
        <v>11084384.858888887</v>
      </c>
      <c r="D26" s="16">
        <f>[1]Школы!AJ21</f>
        <v>671584.99888888933</v>
      </c>
      <c r="E26" s="16">
        <f>[1]Школы!DF21</f>
        <v>0</v>
      </c>
      <c r="F26" s="16">
        <f>[1]Школы!AK21</f>
        <v>60625.782000000007</v>
      </c>
      <c r="G26" s="16">
        <f>[1]Школы!AL21</f>
        <v>0</v>
      </c>
      <c r="H26" s="16">
        <f>'[1]Муниц прогр №0'!H72</f>
        <v>0</v>
      </c>
      <c r="I26" s="91">
        <f t="shared" si="0"/>
        <v>11816595.639777776</v>
      </c>
    </row>
    <row r="27" spans="1:13" x14ac:dyDescent="0.25">
      <c r="A27" s="43">
        <v>13</v>
      </c>
      <c r="B27" s="48" t="s">
        <v>287</v>
      </c>
      <c r="C27" s="16">
        <f>'[1]учительство  '!BO17+[1]Школы!BB22+('[1]учительство  '!BH17*1.302)+[1]Школы!CT22</f>
        <v>21531730.400666669</v>
      </c>
      <c r="D27" s="16">
        <f>[1]Школы!AJ22</f>
        <v>2350595.2166666687</v>
      </c>
      <c r="E27" s="16">
        <f>[1]Школы!DF22</f>
        <v>0</v>
      </c>
      <c r="F27" s="16">
        <f>[1]Школы!AK22</f>
        <v>217763.978</v>
      </c>
      <c r="G27" s="16">
        <f>[1]Школы!AL22</f>
        <v>0</v>
      </c>
      <c r="H27" s="16"/>
      <c r="I27" s="91">
        <f t="shared" si="0"/>
        <v>24100089.595333338</v>
      </c>
    </row>
    <row r="28" spans="1:13" x14ac:dyDescent="0.25">
      <c r="A28" s="43">
        <v>14</v>
      </c>
      <c r="B28" s="48" t="s">
        <v>288</v>
      </c>
      <c r="C28" s="16">
        <f>'[1]учительство  '!BO18+[1]Школы!BB23+('[1]учительство  '!BH18*1.302)+[1]Школы!CT23</f>
        <v>29780978.622444447</v>
      </c>
      <c r="D28" s="16">
        <f>[1]Школы!AJ23</f>
        <v>3559786.3344444446</v>
      </c>
      <c r="E28" s="16">
        <f>[1]Школы!DF23</f>
        <v>0</v>
      </c>
      <c r="F28" s="16">
        <f>[1]Школы!AK23</f>
        <v>245115.25200000001</v>
      </c>
      <c r="G28" s="16">
        <f>[1]Школы!AL23</f>
        <v>599000</v>
      </c>
      <c r="H28" s="16">
        <f>'[1]Муниц прогр №0'!H63</f>
        <v>0</v>
      </c>
      <c r="I28" s="91">
        <f t="shared" si="0"/>
        <v>34184880.208888888</v>
      </c>
    </row>
    <row r="29" spans="1:13" x14ac:dyDescent="0.25">
      <c r="A29" s="43">
        <v>15</v>
      </c>
      <c r="B29" s="48" t="s">
        <v>289</v>
      </c>
      <c r="C29" s="16">
        <f>'[1]учительство  '!BO19+[1]Школы!BB24+('[1]учительство  '!BH19*1.302)+[1]Школы!CT24</f>
        <v>14598239.333111111</v>
      </c>
      <c r="D29" s="16">
        <f>[1]Школы!AJ24</f>
        <v>2487058.53111111</v>
      </c>
      <c r="E29" s="16">
        <f>[1]Школы!DF24</f>
        <v>0</v>
      </c>
      <c r="F29" s="16">
        <f>[1]Школы!AK24</f>
        <v>254483.17700000003</v>
      </c>
      <c r="G29" s="16">
        <f>[1]Школы!AL24</f>
        <v>0</v>
      </c>
      <c r="H29" s="16">
        <f>'[1]Муниц прогр №0'!H64</f>
        <v>0</v>
      </c>
      <c r="I29" s="91">
        <f t="shared" si="0"/>
        <v>17339781.041222222</v>
      </c>
    </row>
    <row r="30" spans="1:13" x14ac:dyDescent="0.25">
      <c r="A30" s="43">
        <v>16</v>
      </c>
      <c r="B30" s="48" t="s">
        <v>290</v>
      </c>
      <c r="C30" s="16">
        <f>'[1]учительство  '!BO20+[1]Школы!BB25+('[1]учительство  '!BH20*1.302)+[1]Школы!CT25</f>
        <v>27703159.729555555</v>
      </c>
      <c r="D30" s="16">
        <f>[1]Школы!AJ25</f>
        <v>3920994.3555555567</v>
      </c>
      <c r="E30" s="16">
        <f>[1]Школы!DF25</f>
        <v>0</v>
      </c>
      <c r="F30" s="16">
        <f>[1]Школы!AK25</f>
        <v>250299.486</v>
      </c>
      <c r="G30" s="16">
        <f>[1]Школы!AL25</f>
        <v>0</v>
      </c>
      <c r="H30" s="16">
        <f>'[1]Муниц прогр №0'!H69</f>
        <v>0</v>
      </c>
      <c r="I30" s="91">
        <f t="shared" si="0"/>
        <v>31874453.571111113</v>
      </c>
    </row>
    <row r="31" spans="1:13" x14ac:dyDescent="0.25">
      <c r="A31" s="43">
        <v>17</v>
      </c>
      <c r="B31" s="48" t="s">
        <v>291</v>
      </c>
      <c r="C31" s="16">
        <f>'[1]учительство  '!BO21+[1]Школы!BB26+('[1]учительство  '!BH21*1.302)+[1]Школы!CT26</f>
        <v>13548452.135133334</v>
      </c>
      <c r="D31" s="16">
        <f>[1]Школы!AJ26</f>
        <v>911107.1333333347</v>
      </c>
      <c r="E31" s="16">
        <f>[1]Школы!DF26</f>
        <v>0</v>
      </c>
      <c r="F31" s="16">
        <f>[1]Школы!AK26</f>
        <v>50337.462</v>
      </c>
      <c r="G31" s="16">
        <f>[1]Школы!AL26</f>
        <v>0</v>
      </c>
      <c r="H31" s="16">
        <f>'[1]Муниц прогр №0'!H36+'[1]Муниц прогр №0'!H60</f>
        <v>0</v>
      </c>
      <c r="I31" s="91">
        <f t="shared" si="0"/>
        <v>14509896.730466668</v>
      </c>
    </row>
    <row r="32" spans="1:13" x14ac:dyDescent="0.25">
      <c r="A32" s="43">
        <v>18</v>
      </c>
      <c r="B32" s="48" t="s">
        <v>292</v>
      </c>
      <c r="C32" s="16">
        <f>'[1]учительство  '!BO22+[1]Школы!BB27+('[1]учительство  '!BH22*1.302)+[1]Школы!CT27</f>
        <v>15127020.437111111</v>
      </c>
      <c r="D32" s="16">
        <f>[1]Школы!AJ27</f>
        <v>1322742.8011111114</v>
      </c>
      <c r="E32" s="16">
        <f>[1]Школы!DF27</f>
        <v>0</v>
      </c>
      <c r="F32" s="16">
        <f>[1]Школы!AK27</f>
        <v>82574.701000000001</v>
      </c>
      <c r="G32" s="16">
        <f>[1]Школы!AL27</f>
        <v>0</v>
      </c>
      <c r="H32" s="16"/>
      <c r="I32" s="91">
        <f t="shared" si="0"/>
        <v>16532337.939222222</v>
      </c>
    </row>
    <row r="33" spans="1:9" x14ac:dyDescent="0.25">
      <c r="A33" s="43">
        <v>19</v>
      </c>
      <c r="B33" s="48" t="s">
        <v>293</v>
      </c>
      <c r="C33" s="16">
        <f>'[1]учительство  '!BO23+[1]Школы!BB28+('[1]учительство  '!BH23*1.302)+[1]Школы!CT28</f>
        <v>11574142.746217776</v>
      </c>
      <c r="D33" s="16">
        <f>[1]Школы!AJ28</f>
        <v>894850.08777777851</v>
      </c>
      <c r="E33" s="16">
        <f>[1]Школы!DF28</f>
        <v>0</v>
      </c>
      <c r="F33" s="16">
        <f>[1]Школы!AK28</f>
        <v>43942.690999999999</v>
      </c>
      <c r="G33" s="16">
        <f>[1]Школы!AL28</f>
        <v>0</v>
      </c>
      <c r="H33" s="16">
        <f>'[1]Муниц прогр №0'!H37+'[1]Муниц прогр №0'!H73</f>
        <v>0</v>
      </c>
      <c r="I33" s="91">
        <f t="shared" si="0"/>
        <v>12512935.524995554</v>
      </c>
    </row>
    <row r="34" spans="1:9" x14ac:dyDescent="0.25">
      <c r="A34" s="43">
        <v>20</v>
      </c>
      <c r="B34" s="48" t="s">
        <v>294</v>
      </c>
      <c r="C34" s="16">
        <f>'[1]учительство  '!BO24+[1]Школы!BB29+('[1]учительство  '!BH24*1.302)+[1]Школы!CT29</f>
        <v>32969503.72022222</v>
      </c>
      <c r="D34" s="16">
        <f>[1]Школы!AJ29</f>
        <v>4642251.3922222219</v>
      </c>
      <c r="E34" s="16">
        <f>[1]Школы!DF29</f>
        <v>0</v>
      </c>
      <c r="F34" s="16">
        <f>[1]Школы!AK29</f>
        <v>194094.644</v>
      </c>
      <c r="G34" s="16">
        <f>[1]Школы!AL29</f>
        <v>0</v>
      </c>
      <c r="H34" s="16">
        <f>'[1]Муниц прогр №0'!H65</f>
        <v>0</v>
      </c>
      <c r="I34" s="91">
        <f t="shared" si="0"/>
        <v>37805849.756444447</v>
      </c>
    </row>
    <row r="35" spans="1:9" x14ac:dyDescent="0.25">
      <c r="A35" s="43">
        <v>21</v>
      </c>
      <c r="B35" s="48" t="s">
        <v>295</v>
      </c>
      <c r="C35" s="16">
        <f>'[1]учительство  '!BO25+[1]Школы!BB30+('[1]учительство  '!BH25*1.302)+[1]Школы!CT30</f>
        <v>14731727.466622224</v>
      </c>
      <c r="D35" s="16">
        <f>[1]Школы!AJ30</f>
        <v>660555.32222222164</v>
      </c>
      <c r="E35" s="16">
        <f>[1]Школы!DF30</f>
        <v>0</v>
      </c>
      <c r="F35" s="16">
        <f>[1]Школы!AK30</f>
        <v>139805.62800000003</v>
      </c>
      <c r="G35" s="16">
        <f>[1]Школы!AL30</f>
        <v>0</v>
      </c>
      <c r="H35" s="16">
        <f>'[1]Муниц прогр №0'!H28+'[1]Муниц прогр №0'!H34</f>
        <v>0</v>
      </c>
      <c r="I35" s="91">
        <f t="shared" si="0"/>
        <v>15532088.416844446</v>
      </c>
    </row>
    <row r="36" spans="1:9" x14ac:dyDescent="0.25">
      <c r="A36" s="43">
        <v>22</v>
      </c>
      <c r="B36" s="48" t="s">
        <v>296</v>
      </c>
      <c r="C36" s="16">
        <f>'[1]учительство  '!BO26+[1]Школы!BB31+('[1]учительство  '!BH26*1.302)+[1]Школы!CT31</f>
        <v>15038725.84408889</v>
      </c>
      <c r="D36" s="16">
        <f>[1]Школы!AJ31</f>
        <v>1102045.6688888893</v>
      </c>
      <c r="E36" s="16">
        <f>[1]Школы!DF31</f>
        <v>0</v>
      </c>
      <c r="F36" s="16">
        <f>[1]Школы!AK31</f>
        <v>119639.621</v>
      </c>
      <c r="G36" s="16">
        <f>[1]Школы!AL31</f>
        <v>0</v>
      </c>
      <c r="H36" s="16">
        <f>'[1]Муниц прогр №0'!H62</f>
        <v>0</v>
      </c>
      <c r="I36" s="91">
        <f t="shared" si="0"/>
        <v>16260411.133977778</v>
      </c>
    </row>
    <row r="37" spans="1:9" x14ac:dyDescent="0.25">
      <c r="A37" s="43">
        <v>23</v>
      </c>
      <c r="B37" s="48" t="s">
        <v>297</v>
      </c>
      <c r="C37" s="16">
        <f>'[1]учительство  '!BO27+[1]Школы!BB32+('[1]учительство  '!BH27*1.302)+[1]Школы!CT32</f>
        <v>11532504.396222223</v>
      </c>
      <c r="D37" s="16">
        <f>[1]Школы!AJ32</f>
        <v>990154.07222222164</v>
      </c>
      <c r="E37" s="16">
        <f>[1]Школы!DF32</f>
        <v>0</v>
      </c>
      <c r="F37" s="16">
        <f>[1]Школы!AK32</f>
        <v>302018.43000000005</v>
      </c>
      <c r="G37" s="16">
        <f>[1]Школы!AL32</f>
        <v>0</v>
      </c>
      <c r="H37" s="16"/>
      <c r="I37" s="91">
        <f t="shared" si="0"/>
        <v>12824676.898444444</v>
      </c>
    </row>
    <row r="38" spans="1:9" x14ac:dyDescent="0.25">
      <c r="A38" s="43">
        <v>24</v>
      </c>
      <c r="B38" s="48" t="s">
        <v>298</v>
      </c>
      <c r="C38" s="16">
        <f>'[1]учительство  '!BO28+[1]Школы!BB33+('[1]учительство  '!BH28*1.302)+[1]Школы!CT33</f>
        <v>12060806.667111112</v>
      </c>
      <c r="D38" s="16">
        <f>[1]Школы!AJ33</f>
        <v>1762708.6711111125</v>
      </c>
      <c r="E38" s="16">
        <f>[1]Школы!DF33</f>
        <v>0</v>
      </c>
      <c r="F38" s="16">
        <f>[1]Школы!AK33</f>
        <v>63302.840000000004</v>
      </c>
      <c r="G38" s="16">
        <f>[1]Школы!AL33</f>
        <v>0</v>
      </c>
      <c r="H38" s="16">
        <f>'[1]Муниц прогр №0'!H39</f>
        <v>0</v>
      </c>
      <c r="I38" s="91">
        <f t="shared" si="0"/>
        <v>13886818.178222224</v>
      </c>
    </row>
    <row r="39" spans="1:9" x14ac:dyDescent="0.25">
      <c r="A39" s="43">
        <v>25</v>
      </c>
      <c r="B39" s="48" t="s">
        <v>299</v>
      </c>
      <c r="C39" s="16">
        <f>'[1]учительство  '!BO29+[1]Школы!BB34+('[1]учительство  '!BH29*1.302)+[1]Школы!CT34</f>
        <v>10883395.055617776</v>
      </c>
      <c r="D39" s="16">
        <f>[1]Школы!AJ34</f>
        <v>838978.51777777821</v>
      </c>
      <c r="E39" s="16">
        <f>[1]Школы!DF34</f>
        <v>0</v>
      </c>
      <c r="F39" s="16">
        <f>[1]Школы!AK34</f>
        <v>114979.311</v>
      </c>
      <c r="G39" s="16">
        <f>[1]Школы!AL34</f>
        <v>846000</v>
      </c>
      <c r="H39" s="16">
        <f>'[1]Муниц прогр №0'!H71+'[1]Муниц прогр №0'!H40</f>
        <v>0</v>
      </c>
      <c r="I39" s="91">
        <f t="shared" si="0"/>
        <v>12683352.884395555</v>
      </c>
    </row>
    <row r="40" spans="1:9" x14ac:dyDescent="0.25">
      <c r="A40" s="43">
        <v>26</v>
      </c>
      <c r="B40" s="48" t="s">
        <v>300</v>
      </c>
      <c r="C40" s="16">
        <f>'[1]учительство  '!BO30+[1]Школы!BB35+('[1]учительство  '!BH30*1.302)+[1]Школы!CT35</f>
        <v>1099632.5755111112</v>
      </c>
      <c r="D40" s="16">
        <f>[1]Школы!AJ35</f>
        <v>107117.03111111105</v>
      </c>
      <c r="E40" s="16">
        <f>[1]Школы!DF35</f>
        <v>0</v>
      </c>
      <c r="F40" s="16">
        <f>[1]Школы!AK35</f>
        <v>35000</v>
      </c>
      <c r="G40" s="16">
        <f>[1]Школы!AL35</f>
        <v>0</v>
      </c>
      <c r="H40" s="16"/>
      <c r="I40" s="91">
        <f t="shared" si="0"/>
        <v>1241749.6066222223</v>
      </c>
    </row>
    <row r="41" spans="1:9" x14ac:dyDescent="0.25">
      <c r="A41" s="43">
        <v>27</v>
      </c>
      <c r="B41" s="48" t="s">
        <v>301</v>
      </c>
      <c r="C41" s="16">
        <f>'[1]учительство  '!BO31+[1]Школы!BB36+('[1]учительство  '!BH31*1.302)+[1]Школы!CT36</f>
        <v>1697317.9581555552</v>
      </c>
      <c r="D41" s="16">
        <f>[1]Школы!AJ36</f>
        <v>137683.89555555559</v>
      </c>
      <c r="E41" s="16">
        <f>[1]Школы!DF36</f>
        <v>0</v>
      </c>
      <c r="F41" s="16">
        <f>[1]Школы!AK36</f>
        <v>36715.775000000001</v>
      </c>
      <c r="G41" s="16">
        <f>[1]Школы!AL36</f>
        <v>0</v>
      </c>
      <c r="H41" s="16"/>
      <c r="I41" s="91">
        <f t="shared" si="0"/>
        <v>1871717.6287111107</v>
      </c>
    </row>
    <row r="42" spans="1:9" x14ac:dyDescent="0.25">
      <c r="A42" s="43">
        <v>28</v>
      </c>
      <c r="B42" s="48" t="s">
        <v>302</v>
      </c>
      <c r="C42" s="16">
        <f>'[1]учительство  '!BO32+[1]Школы!BB37+('[1]учительство  '!BH32*1.302)+[1]Школы!CT37</f>
        <v>2132045.7308622221</v>
      </c>
      <c r="D42" s="16">
        <f>[1]Школы!AJ37</f>
        <v>217870.48222222202</v>
      </c>
      <c r="E42" s="16">
        <f>[1]Школы!DF37</f>
        <v>0</v>
      </c>
      <c r="F42" s="16">
        <f>[1]Школы!AK37</f>
        <v>35000</v>
      </c>
      <c r="G42" s="16">
        <f>[1]Школы!AL37</f>
        <v>0</v>
      </c>
      <c r="H42" s="16"/>
      <c r="I42" s="91">
        <f t="shared" si="0"/>
        <v>2384916.2130844444</v>
      </c>
    </row>
    <row r="43" spans="1:9" x14ac:dyDescent="0.25">
      <c r="A43" s="43">
        <v>29</v>
      </c>
      <c r="B43" s="48" t="s">
        <v>303</v>
      </c>
      <c r="C43" s="16">
        <f>'[1]учительство  '!BO33+[1]Школы!BB38+('[1]учительство  '!BH33*1.302)+[1]Школы!CT38</f>
        <v>1214870.1409111109</v>
      </c>
      <c r="D43" s="16">
        <f>[1]Школы!AJ38</f>
        <v>123149.45111111109</v>
      </c>
      <c r="E43" s="16">
        <f>[1]Школы!DF38</f>
        <v>0</v>
      </c>
      <c r="F43" s="16">
        <f>[1]Школы!AK38</f>
        <v>35143.535000000003</v>
      </c>
      <c r="G43" s="16">
        <f>[1]Школы!AL38</f>
        <v>0</v>
      </c>
      <c r="H43" s="16"/>
      <c r="I43" s="91">
        <f t="shared" si="0"/>
        <v>1373163.1270222219</v>
      </c>
    </row>
    <row r="44" spans="1:9" x14ac:dyDescent="0.25">
      <c r="A44" s="43">
        <v>30</v>
      </c>
      <c r="B44" s="48" t="s">
        <v>304</v>
      </c>
      <c r="C44" s="16">
        <f>'[1]учительство  '!BO34+[1]Школы!BB39+('[1]учительство  '!BH34*1.302)+[1]Школы!CT39</f>
        <v>1447420.8015555555</v>
      </c>
      <c r="D44" s="16">
        <f>[1]Школы!AJ39</f>
        <v>141383.89555555559</v>
      </c>
      <c r="E44" s="16">
        <f>[1]Школы!DF39</f>
        <v>0</v>
      </c>
      <c r="F44" s="16">
        <f>[1]Школы!AK39</f>
        <v>35000</v>
      </c>
      <c r="G44" s="16">
        <f>[1]Школы!AL39</f>
        <v>0</v>
      </c>
      <c r="H44" s="16"/>
      <c r="I44" s="91">
        <f t="shared" si="0"/>
        <v>1623804.6971111111</v>
      </c>
    </row>
    <row r="45" spans="1:9" x14ac:dyDescent="0.25">
      <c r="A45" s="43">
        <v>31</v>
      </c>
      <c r="B45" s="48" t="s">
        <v>305</v>
      </c>
      <c r="C45" s="16">
        <f>'[1]учительство  '!BO35+[1]Школы!BB40+('[1]учительство  '!BH35*1.302)+[1]Школы!CT40</f>
        <v>1231494.568911111</v>
      </c>
      <c r="D45" s="16">
        <f>[1]Школы!AJ40</f>
        <v>128460.22111111088</v>
      </c>
      <c r="E45" s="16">
        <f>[1]Школы!DF40</f>
        <v>0</v>
      </c>
      <c r="F45" s="16">
        <f>[1]Школы!AK40</f>
        <v>35000</v>
      </c>
      <c r="G45" s="16">
        <f>[1]Школы!AL40</f>
        <v>0</v>
      </c>
      <c r="H45" s="16"/>
      <c r="I45" s="91">
        <f t="shared" si="0"/>
        <v>1394954.7900222219</v>
      </c>
    </row>
    <row r="46" spans="1:9" x14ac:dyDescent="0.25">
      <c r="A46" s="43">
        <v>32</v>
      </c>
      <c r="B46" s="92" t="s">
        <v>306</v>
      </c>
      <c r="C46" s="16">
        <f>'[1]ДЮСШ и РЦДОД и Ю МБУ'!AD14</f>
        <v>0</v>
      </c>
      <c r="D46" s="16">
        <f>'[1]ДЮСШ и РЦДОД и Ю МБУ'!AE14</f>
        <v>0</v>
      </c>
      <c r="E46" s="16">
        <f>'[1]ДЮСШ и РЦДОД и Ю МБУ'!DA14</f>
        <v>0</v>
      </c>
      <c r="F46" s="16">
        <f>'[1]ДЮСШ и РЦДОД и Ю МБУ'!AF14</f>
        <v>0</v>
      </c>
      <c r="G46" s="16">
        <f>'[1]ДЮСШ и РЦДОД и Ю МБУ'!AG14</f>
        <v>870000</v>
      </c>
      <c r="H46" s="16"/>
      <c r="I46" s="91">
        <f t="shared" si="0"/>
        <v>870000</v>
      </c>
    </row>
    <row r="47" spans="1:9" x14ac:dyDescent="0.25">
      <c r="A47" s="43">
        <v>33</v>
      </c>
      <c r="B47" s="92"/>
      <c r="C47" s="16">
        <v>0</v>
      </c>
      <c r="D47" s="16">
        <f>'[1]ДЮСШ и РЦДОД и Ю МБУ'!BR15</f>
        <v>0</v>
      </c>
      <c r="E47" s="16">
        <v>0</v>
      </c>
      <c r="F47" s="16">
        <v>0</v>
      </c>
      <c r="G47" s="16">
        <f>'[1]ДЮСШ и РЦДОД и Ю МБУ'!AG15</f>
        <v>0</v>
      </c>
      <c r="H47" s="16"/>
      <c r="I47" s="91">
        <f t="shared" si="0"/>
        <v>0</v>
      </c>
    </row>
    <row r="48" spans="1:9" x14ac:dyDescent="0.25">
      <c r="A48" s="43">
        <v>34</v>
      </c>
      <c r="B48" s="92"/>
      <c r="C48" s="16">
        <v>0</v>
      </c>
      <c r="D48" s="16">
        <f>'[1]ДЮСШ и РЦДОД и Ю МБУ'!BR16</f>
        <v>0</v>
      </c>
      <c r="E48" s="16">
        <v>0</v>
      </c>
      <c r="F48" s="16">
        <v>0</v>
      </c>
      <c r="G48" s="16">
        <f>'[1]ДЮСШ и РЦДОД и Ю МБУ'!AG16</f>
        <v>0</v>
      </c>
      <c r="H48" s="16"/>
      <c r="I48" s="91">
        <f t="shared" si="0"/>
        <v>0</v>
      </c>
    </row>
    <row r="49" spans="1:9" x14ac:dyDescent="0.25">
      <c r="A49" s="43">
        <v>35</v>
      </c>
      <c r="B49" s="92" t="s">
        <v>307</v>
      </c>
      <c r="C49" s="16">
        <v>0</v>
      </c>
      <c r="D49" s="16">
        <f>'[1]ДЮСШ и РЦДОД и Ю МБУ'!BR13</f>
        <v>0</v>
      </c>
      <c r="E49" s="16">
        <v>0</v>
      </c>
      <c r="F49" s="16">
        <v>0</v>
      </c>
      <c r="G49" s="16">
        <f>'[1]ДЮСШ и РЦДОД и Ю МБУ'!CE13</f>
        <v>2000000</v>
      </c>
      <c r="H49" s="16"/>
      <c r="I49" s="91">
        <f t="shared" si="0"/>
        <v>2000000</v>
      </c>
    </row>
    <row r="50" spans="1:9" x14ac:dyDescent="0.25">
      <c r="A50" s="43">
        <v>36</v>
      </c>
      <c r="B50" s="92"/>
      <c r="C50" s="16">
        <v>0</v>
      </c>
      <c r="D50" s="16">
        <f>'[1]ДЮСШ и РЦДОД и Ю МБУ'!BR18</f>
        <v>0</v>
      </c>
      <c r="E50" s="16">
        <v>0</v>
      </c>
      <c r="F50" s="16">
        <v>0</v>
      </c>
      <c r="G50" s="16">
        <f>'[1]ДЮСШ и РЦДОД и Ю МБУ'!CE18</f>
        <v>0</v>
      </c>
      <c r="H50" s="16"/>
      <c r="I50" s="91">
        <f t="shared" si="0"/>
        <v>0</v>
      </c>
    </row>
    <row r="51" spans="1:9" x14ac:dyDescent="0.25">
      <c r="A51" s="43">
        <v>37</v>
      </c>
      <c r="B51" s="32" t="str">
        <f>'[1]ясли сады'!B5</f>
        <v>МКДОУ "Ромашка" с Алак</v>
      </c>
      <c r="C51" s="16">
        <f>'[1]ясли сады'!AH5</f>
        <v>6051608.5895332843</v>
      </c>
      <c r="D51" s="16">
        <f>'[1]ясли сады'!AI5</f>
        <v>1486778.9608548172</v>
      </c>
      <c r="E51" s="16">
        <f>'[1]ясли сады'!ED5</f>
        <v>10000</v>
      </c>
      <c r="F51" s="16">
        <f>'[1]ясли сады'!AJ5</f>
        <v>10000</v>
      </c>
      <c r="G51" s="16">
        <f>'[1]ясли сады'!AK5</f>
        <v>0</v>
      </c>
      <c r="H51" s="16">
        <f>'[1]Муниц прогр №0'!H80</f>
        <v>0</v>
      </c>
      <c r="I51" s="91">
        <f t="shared" si="0"/>
        <v>7548387.5503881015</v>
      </c>
    </row>
    <row r="52" spans="1:9" x14ac:dyDescent="0.25">
      <c r="A52" s="43">
        <v>38</v>
      </c>
      <c r="B52" s="32" t="str">
        <f>'[1]ясли сады'!B6</f>
        <v xml:space="preserve">МКДОУ "Светлячок" с Анди  </v>
      </c>
      <c r="C52" s="16">
        <f>'[1]ясли сады'!AH6</f>
        <v>13094297.911682349</v>
      </c>
      <c r="D52" s="16">
        <f>'[1]ясли сады'!AI6</f>
        <v>3476478.2414721847</v>
      </c>
      <c r="E52" s="16">
        <f>'[1]ясли сады'!ED6</f>
        <v>10000</v>
      </c>
      <c r="F52" s="16">
        <f>'[1]ясли сады'!AJ6</f>
        <v>10000</v>
      </c>
      <c r="G52" s="16">
        <f>'[1]ясли сады'!AK6</f>
        <v>0</v>
      </c>
      <c r="H52" s="16">
        <f>'[1]Муниц прогр №0'!H81</f>
        <v>0</v>
      </c>
      <c r="I52" s="91">
        <f t="shared" si="0"/>
        <v>16580776.153154533</v>
      </c>
    </row>
    <row r="53" spans="1:9" x14ac:dyDescent="0.25">
      <c r="A53" s="43">
        <v>39</v>
      </c>
      <c r="B53" s="32" t="str">
        <f>'[1]ясли сады'!B7</f>
        <v>МКДОУ "Аист" с  Ансалта</v>
      </c>
      <c r="C53" s="16">
        <f>'[1]ясли сады'!AH7</f>
        <v>15985668.795087993</v>
      </c>
      <c r="D53" s="16">
        <f>'[1]ясли сады'!AI7</f>
        <v>5041069.7048127577</v>
      </c>
      <c r="E53" s="16">
        <f>'[1]ясли сады'!ED7</f>
        <v>10000</v>
      </c>
      <c r="F53" s="16">
        <f>'[1]ясли сады'!AJ7</f>
        <v>10000</v>
      </c>
      <c r="G53" s="16">
        <f>'[1]ясли сады'!AK7</f>
        <v>0</v>
      </c>
      <c r="H53" s="16">
        <f>'[1]Муниц прогр №0'!H79</f>
        <v>0</v>
      </c>
      <c r="I53" s="91">
        <f t="shared" si="0"/>
        <v>21036738.499900751</v>
      </c>
    </row>
    <row r="54" spans="1:9" x14ac:dyDescent="0.25">
      <c r="A54" s="43">
        <v>40</v>
      </c>
      <c r="B54" s="32" t="str">
        <f>'[1]ясли сады'!B8</f>
        <v xml:space="preserve">МКДОУ "Чебурашка" с Ботлих  </v>
      </c>
      <c r="C54" s="16">
        <f>'[1]ясли сады'!AH8</f>
        <v>18219558.287922986</v>
      </c>
      <c r="D54" s="16">
        <f>'[1]ясли сады'!AI8</f>
        <v>5272344.9529335089</v>
      </c>
      <c r="E54" s="16">
        <f>'[1]ясли сады'!ED8</f>
        <v>10000</v>
      </c>
      <c r="F54" s="16">
        <f>'[1]ясли сады'!AJ8</f>
        <v>10000</v>
      </c>
      <c r="G54" s="16">
        <f>'[1]ясли сады'!AK8</f>
        <v>0</v>
      </c>
      <c r="H54" s="16">
        <f>'[1]Муниц прогр №0'!H75</f>
        <v>0</v>
      </c>
      <c r="I54" s="91">
        <f t="shared" si="0"/>
        <v>23501903.240856495</v>
      </c>
    </row>
    <row r="55" spans="1:9" x14ac:dyDescent="0.25">
      <c r="A55" s="43">
        <v>41</v>
      </c>
      <c r="B55" s="32" t="str">
        <f>'[1]ясли сады'!B9</f>
        <v>МКДОУ "Солнышко" с  Ботлих</v>
      </c>
      <c r="C55" s="16">
        <f>'[1]ясли сады'!AH9</f>
        <v>15622499.925031003</v>
      </c>
      <c r="D55" s="16">
        <f>'[1]ясли сады'!AI9</f>
        <v>4802287.3494902775</v>
      </c>
      <c r="E55" s="16">
        <f>'[1]ясли сады'!ED9</f>
        <v>10000</v>
      </c>
      <c r="F55" s="16">
        <f>'[1]ясли сады'!AJ9</f>
        <v>10000</v>
      </c>
      <c r="G55" s="16">
        <f>'[1]ясли сады'!AK9</f>
        <v>0</v>
      </c>
      <c r="H55" s="16">
        <f>'[1]Муниц прогр №0'!H76</f>
        <v>0</v>
      </c>
      <c r="I55" s="91">
        <f t="shared" si="0"/>
        <v>20434787.27452128</v>
      </c>
    </row>
    <row r="56" spans="1:9" x14ac:dyDescent="0.25">
      <c r="A56" s="43">
        <v>42</v>
      </c>
      <c r="B56" s="32" t="str">
        <f>'[1]ясли сады'!B10</f>
        <v>МКДОУ "Родничок" с  Ботлих</v>
      </c>
      <c r="C56" s="16">
        <f>'[1]ясли сады'!AH10</f>
        <v>12995604.133943895</v>
      </c>
      <c r="D56" s="16">
        <f>'[1]ясли сады'!AI10</f>
        <v>4984255.3378303926</v>
      </c>
      <c r="E56" s="16">
        <f>'[1]ясли сады'!ED10</f>
        <v>10000</v>
      </c>
      <c r="F56" s="16">
        <f>'[1]ясли сады'!AJ10</f>
        <v>10000</v>
      </c>
      <c r="G56" s="16">
        <f>'[1]ясли сады'!AK10</f>
        <v>0</v>
      </c>
      <c r="H56" s="16"/>
      <c r="I56" s="91">
        <f t="shared" si="0"/>
        <v>17989859.471774288</v>
      </c>
    </row>
    <row r="57" spans="1:9" x14ac:dyDescent="0.25">
      <c r="A57" s="43">
        <v>43</v>
      </c>
      <c r="B57" s="32" t="str">
        <f>'[1]ясли сады'!B11</f>
        <v xml:space="preserve">МКДОУ "Орленок" с Гагатли </v>
      </c>
      <c r="C57" s="16">
        <f>'[1]ясли сады'!AH11</f>
        <v>8922177.2297540922</v>
      </c>
      <c r="D57" s="16">
        <f>'[1]ясли сады'!AI11</f>
        <v>3197042.2651316151</v>
      </c>
      <c r="E57" s="16">
        <f>'[1]ясли сады'!ED11</f>
        <v>10000</v>
      </c>
      <c r="F57" s="16">
        <f>'[1]ясли сады'!AJ11</f>
        <v>10000</v>
      </c>
      <c r="G57" s="16">
        <f>'[1]ясли сады'!AK11</f>
        <v>0</v>
      </c>
      <c r="H57" s="16">
        <f>'[1]Муниц прогр №0'!H46</f>
        <v>0</v>
      </c>
      <c r="I57" s="91">
        <f t="shared" si="0"/>
        <v>12129219.494885707</v>
      </c>
    </row>
    <row r="58" spans="1:9" x14ac:dyDescent="0.25">
      <c r="A58" s="43">
        <v>44</v>
      </c>
      <c r="B58" s="32" t="str">
        <f>'[1]ясли сады'!B12</f>
        <v>МКДОУ "Улыбка" с  Муни</v>
      </c>
      <c r="C58" s="16">
        <f>'[1]ясли сады'!AH12</f>
        <v>8873218.1789723746</v>
      </c>
      <c r="D58" s="16">
        <f>'[1]ясли сады'!AI12</f>
        <v>2348878.606397558</v>
      </c>
      <c r="E58" s="16">
        <f>'[1]ясли сады'!ED12</f>
        <v>10000</v>
      </c>
      <c r="F58" s="16">
        <f>'[1]ясли сады'!AJ12</f>
        <v>10000</v>
      </c>
      <c r="G58" s="16">
        <f>'[1]ясли сады'!AK12</f>
        <v>0</v>
      </c>
      <c r="H58" s="16">
        <f>'[1]Муниц прогр №0'!H49+'[1]Муниц прогр №0'!H78</f>
        <v>0</v>
      </c>
      <c r="I58" s="91">
        <f t="shared" si="0"/>
        <v>11232096.785369933</v>
      </c>
    </row>
    <row r="59" spans="1:9" x14ac:dyDescent="0.25">
      <c r="A59" s="43">
        <v>45</v>
      </c>
      <c r="B59" s="32" t="str">
        <f>'[1]ясли сады'!B13</f>
        <v xml:space="preserve">МКДОУ "Ласточка" с Рахата  </v>
      </c>
      <c r="C59" s="16">
        <f>'[1]ясли сады'!AH13</f>
        <v>17929086.418172069</v>
      </c>
      <c r="D59" s="16">
        <f>'[1]ясли сады'!AI13</f>
        <v>4665993.9179050215</v>
      </c>
      <c r="E59" s="16">
        <f>'[1]ясли сады'!ED13</f>
        <v>10000</v>
      </c>
      <c r="F59" s="16">
        <f>'[1]ясли сады'!AJ13</f>
        <v>10000</v>
      </c>
      <c r="G59" s="16">
        <f>'[1]ясли сады'!AK13</f>
        <v>0</v>
      </c>
      <c r="H59" s="16">
        <f>'[1]Муниц прогр №0'!H77</f>
        <v>0</v>
      </c>
      <c r="I59" s="91">
        <f t="shared" si="0"/>
        <v>22605080.33607709</v>
      </c>
    </row>
    <row r="60" spans="1:9" x14ac:dyDescent="0.25">
      <c r="A60" s="43">
        <v>46</v>
      </c>
      <c r="B60" s="32" t="str">
        <f>'[1]ясли сады'!B14</f>
        <v>МКДОУ "Звездочка" с  Тандо</v>
      </c>
      <c r="C60" s="16">
        <f>'[1]ясли сады'!AH14</f>
        <v>5126443.7659311425</v>
      </c>
      <c r="D60" s="16">
        <f>'[1]ясли сады'!AI14</f>
        <v>1272308.4062306648</v>
      </c>
      <c r="E60" s="16">
        <f>'[1]ясли сады'!ED14</f>
        <v>10000</v>
      </c>
      <c r="F60" s="16">
        <f>'[1]ясли сады'!AJ14</f>
        <v>10000</v>
      </c>
      <c r="G60" s="16">
        <f>'[1]ясли сады'!AK14</f>
        <v>0</v>
      </c>
      <c r="H60" s="16">
        <f>'[1]Муниц прогр №0'!H50+'[1]Муниц прогр №0'!H84</f>
        <v>0</v>
      </c>
      <c r="I60" s="91">
        <f t="shared" si="0"/>
        <v>6408752.1721618073</v>
      </c>
    </row>
    <row r="61" spans="1:9" x14ac:dyDescent="0.25">
      <c r="A61" s="43">
        <v>47</v>
      </c>
      <c r="B61" s="32" t="str">
        <f>'[1]ясли сады'!B15</f>
        <v xml:space="preserve">МКДОУ "Радуга" с Тлох </v>
      </c>
      <c r="C61" s="16">
        <f>'[1]ясли сады'!AH15</f>
        <v>8530724.8464967273</v>
      </c>
      <c r="D61" s="16">
        <f>'[1]ясли сады'!AI15</f>
        <v>2647206.2519081887</v>
      </c>
      <c r="E61" s="16">
        <f>'[1]ясли сады'!ED15</f>
        <v>10000</v>
      </c>
      <c r="F61" s="16">
        <f>'[1]ясли сады'!AJ15</f>
        <v>10000</v>
      </c>
      <c r="G61" s="16">
        <f>'[1]ясли сады'!AK15</f>
        <v>0</v>
      </c>
      <c r="H61" s="16">
        <f>'[1]Муниц прогр №0'!H51</f>
        <v>0</v>
      </c>
      <c r="I61" s="91">
        <f t="shared" si="0"/>
        <v>11187931.098404916</v>
      </c>
    </row>
    <row r="62" spans="1:9" x14ac:dyDescent="0.25">
      <c r="A62" s="43">
        <v>48</v>
      </c>
      <c r="B62" s="32" t="str">
        <f>'[1]ясли сады'!B16</f>
        <v xml:space="preserve">МКДОУ "Сказка" с Ашали  </v>
      </c>
      <c r="C62" s="16">
        <f>'[1]ясли сады'!AH16</f>
        <v>4220890.1034323014</v>
      </c>
      <c r="D62" s="16">
        <f>'[1]ясли сады'!AI16</f>
        <v>1350759.1350603802</v>
      </c>
      <c r="E62" s="16">
        <f>'[1]ясли сады'!ED16</f>
        <v>10000</v>
      </c>
      <c r="F62" s="16">
        <f>'[1]ясли сады'!AJ16</f>
        <v>10000</v>
      </c>
      <c r="G62" s="16">
        <f>'[1]ясли сады'!AK16</f>
        <v>0</v>
      </c>
      <c r="H62" s="16">
        <f>'[1]Муниц прогр №0'!H82+'[1]Муниц прогр №0'!H44</f>
        <v>0</v>
      </c>
      <c r="I62" s="91">
        <f t="shared" si="0"/>
        <v>5581649.2384926816</v>
      </c>
    </row>
    <row r="63" spans="1:9" x14ac:dyDescent="0.25">
      <c r="A63" s="43">
        <v>49</v>
      </c>
      <c r="B63" s="32" t="str">
        <f>'[1]ясли сады'!B17</f>
        <v>МКДОУ "Журавлик" с  Шодрода</v>
      </c>
      <c r="C63" s="16">
        <f>'[1]ясли сады'!AH17</f>
        <v>3501567.6541323606</v>
      </c>
      <c r="D63" s="16">
        <f>'[1]ясли сады'!AI17</f>
        <v>829175.99237245508</v>
      </c>
      <c r="E63" s="16">
        <f>'[1]ясли сады'!ED17</f>
        <v>10000</v>
      </c>
      <c r="F63" s="16">
        <f>'[1]ясли сады'!AJ17</f>
        <v>10000</v>
      </c>
      <c r="G63" s="16">
        <f>'[1]ясли сады'!AK17</f>
        <v>0</v>
      </c>
      <c r="H63" s="16">
        <f>'[1]Муниц прогр №0'!H52+'[1]Муниц прогр №0'!H80</f>
        <v>0</v>
      </c>
      <c r="I63" s="91">
        <f t="shared" si="0"/>
        <v>4340743.6465048157</v>
      </c>
    </row>
    <row r="64" spans="1:9" x14ac:dyDescent="0.25">
      <c r="A64" s="43">
        <v>50</v>
      </c>
      <c r="B64" s="32" t="str">
        <f>'[1]ясли сады'!B18</f>
        <v>МКДОУ "Теремок" с  Годобери</v>
      </c>
      <c r="C64" s="16">
        <f>'[1]ясли сады'!AH18</f>
        <v>7945253.1260544555</v>
      </c>
      <c r="D64" s="16">
        <f>'[1]ясли сады'!AI18</f>
        <v>2037054.0899613323</v>
      </c>
      <c r="E64" s="16">
        <f>'[1]ясли сады'!ED18</f>
        <v>10000</v>
      </c>
      <c r="F64" s="16">
        <f>'[1]ясли сады'!AJ18</f>
        <v>10000</v>
      </c>
      <c r="G64" s="16">
        <f>'[1]ясли сады'!AK18</f>
        <v>0</v>
      </c>
      <c r="H64" s="16">
        <f>'[1]Муниц прогр №0'!H47</f>
        <v>0</v>
      </c>
      <c r="I64" s="91">
        <f t="shared" si="0"/>
        <v>9992307.2160157878</v>
      </c>
    </row>
    <row r="65" spans="1:9" x14ac:dyDescent="0.25">
      <c r="A65" s="43">
        <v>51</v>
      </c>
      <c r="B65" s="32" t="str">
        <f>'[1]ясли сады'!B19</f>
        <v xml:space="preserve">МКДОУ "Орленок" с  Зило </v>
      </c>
      <c r="C65" s="16">
        <f>'[1]ясли сады'!AH19</f>
        <v>3761829.8359227176</v>
      </c>
      <c r="D65" s="16">
        <f>'[1]ясли сады'!AI19</f>
        <v>778671.37406037981</v>
      </c>
      <c r="E65" s="16">
        <f>'[1]ясли сады'!ED19</f>
        <v>10000</v>
      </c>
      <c r="F65" s="16">
        <f>'[1]ясли сады'!AJ19</f>
        <v>10000</v>
      </c>
      <c r="G65" s="16">
        <f>'[1]ясли сады'!AK19</f>
        <v>0</v>
      </c>
      <c r="H65" s="16">
        <f>'[1]Муниц прогр №0'!H48</f>
        <v>0</v>
      </c>
      <c r="I65" s="91">
        <f t="shared" si="0"/>
        <v>4550501.2099830974</v>
      </c>
    </row>
    <row r="66" spans="1:9" x14ac:dyDescent="0.25">
      <c r="A66" s="43">
        <v>52</v>
      </c>
      <c r="B66" s="32" t="str">
        <f>'[1]ясли сады'!B20</f>
        <v>МКДОУ "Золотой ключик" в/городок</v>
      </c>
      <c r="C66" s="16">
        <f>'[1]ясли сады'!AH20</f>
        <v>7317101.0174954487</v>
      </c>
      <c r="D66" s="16">
        <f>'[1]ясли сады'!AI20</f>
        <v>4876295.1365784714</v>
      </c>
      <c r="E66" s="16">
        <f>'[1]ясли сады'!ED20</f>
        <v>10000</v>
      </c>
      <c r="F66" s="16">
        <f>'[1]ясли сады'!AJ20</f>
        <v>10000</v>
      </c>
      <c r="G66" s="16">
        <f>'[1]ясли сады'!AK20</f>
        <v>0</v>
      </c>
      <c r="H66" s="16">
        <f>'[1]Муниц прогр №0'!H49</f>
        <v>0</v>
      </c>
      <c r="I66" s="91">
        <f t="shared" si="0"/>
        <v>12203396.15407392</v>
      </c>
    </row>
    <row r="67" spans="1:9" x14ac:dyDescent="0.25">
      <c r="A67" s="43">
        <v>53</v>
      </c>
      <c r="B67" s="32" t="s">
        <v>308</v>
      </c>
      <c r="C67" s="16">
        <f>'[1]ясли сады'!BQ21</f>
        <v>0</v>
      </c>
      <c r="D67" s="16">
        <v>0</v>
      </c>
      <c r="E67" s="16">
        <v>0</v>
      </c>
      <c r="F67" s="16">
        <v>0</v>
      </c>
      <c r="G67" s="16">
        <v>0</v>
      </c>
      <c r="H67" s="16">
        <f>'[1]Муниц прогр №0'!H50</f>
        <v>0</v>
      </c>
      <c r="I67" s="91">
        <f t="shared" si="0"/>
        <v>0</v>
      </c>
    </row>
    <row r="68" spans="1:9" x14ac:dyDescent="0.25">
      <c r="A68" s="43">
        <v>54</v>
      </c>
      <c r="B68" s="32" t="s">
        <v>309</v>
      </c>
      <c r="C68" s="16">
        <f>'[1]Свод образ'!AH20</f>
        <v>5851277.8159999996</v>
      </c>
      <c r="D68" s="16">
        <f>'[1]Свод образ'!AI20</f>
        <v>687036.00200000033</v>
      </c>
      <c r="E68" s="16">
        <f>'[1]Свод образ'!DO20</f>
        <v>10000</v>
      </c>
      <c r="F68" s="16">
        <f>'[1]Свод образ'!AJ20</f>
        <v>70000</v>
      </c>
      <c r="G68" s="16">
        <f>'[1]Свод образ'!AK20</f>
        <v>0</v>
      </c>
      <c r="H68" s="16">
        <f>'[1]Муниц прогр №0'!H51</f>
        <v>0</v>
      </c>
      <c r="I68" s="91">
        <f t="shared" si="0"/>
        <v>6608313.818</v>
      </c>
    </row>
    <row r="69" spans="1:9" x14ac:dyDescent="0.25">
      <c r="A69" s="43">
        <v>55</v>
      </c>
      <c r="B69" s="32" t="s">
        <v>310</v>
      </c>
      <c r="C69" s="16">
        <f>'[1]Свод образ'!AH21</f>
        <v>80000</v>
      </c>
      <c r="D69" s="16">
        <f>'[1]Свод образ'!AI21</f>
        <v>374000</v>
      </c>
      <c r="E69" s="16">
        <f>'[1]Свод образ'!DO21</f>
        <v>0</v>
      </c>
      <c r="F69" s="16">
        <f>'[1]Свод образ'!AJ21</f>
        <v>65780</v>
      </c>
      <c r="G69" s="16">
        <f>'[1]Свод образ'!AK21</f>
        <v>0</v>
      </c>
      <c r="H69" s="16">
        <f>'[1]Муниц прогр №0'!H52</f>
        <v>0</v>
      </c>
      <c r="I69" s="91">
        <f t="shared" si="0"/>
        <v>519780</v>
      </c>
    </row>
    <row r="70" spans="1:9" x14ac:dyDescent="0.25">
      <c r="A70" s="93"/>
      <c r="B70" s="28" t="s">
        <v>311</v>
      </c>
      <c r="C70" s="91">
        <f t="shared" ref="C70:H70" si="1">SUM(C15:C69)</f>
        <v>715750750.22068489</v>
      </c>
      <c r="D70" s="91">
        <f t="shared" si="1"/>
        <v>112416521.64899997</v>
      </c>
      <c r="E70" s="91">
        <f t="shared" si="1"/>
        <v>170000</v>
      </c>
      <c r="F70" s="91">
        <f t="shared" si="1"/>
        <v>6221388.898</v>
      </c>
      <c r="G70" s="91">
        <f t="shared" si="1"/>
        <v>4315000</v>
      </c>
      <c r="H70" s="91">
        <f t="shared" si="1"/>
        <v>0</v>
      </c>
      <c r="I70" s="91">
        <f>SUM(I15:I69)</f>
        <v>838703660.76768529</v>
      </c>
    </row>
    <row r="73" spans="1:9" x14ac:dyDescent="0.25">
      <c r="B73" s="94" t="s">
        <v>312</v>
      </c>
      <c r="I73" s="95">
        <f>SUM(I51:I67)</f>
        <v>207324129.54256523</v>
      </c>
    </row>
    <row r="74" spans="1:9" x14ac:dyDescent="0.25">
      <c r="B74" s="94" t="s">
        <v>313</v>
      </c>
      <c r="I74" s="96">
        <f>SUM(I15:I45)</f>
        <v>621381437.40712011</v>
      </c>
    </row>
    <row r="75" spans="1:9" x14ac:dyDescent="0.25">
      <c r="B75" s="94" t="s">
        <v>314</v>
      </c>
      <c r="I75" s="96">
        <f>SUM(I46:I50)</f>
        <v>2870000</v>
      </c>
    </row>
    <row r="76" spans="1:9" x14ac:dyDescent="0.25">
      <c r="B76" s="94" t="s">
        <v>315</v>
      </c>
      <c r="I76" s="96">
        <f>SUM(I68:I69)</f>
        <v>7128093.818</v>
      </c>
    </row>
    <row r="77" spans="1:9" x14ac:dyDescent="0.25">
      <c r="B77" s="94" t="s">
        <v>316</v>
      </c>
      <c r="I77" s="97">
        <f>SUM(I73:I76)</f>
        <v>838703660.76768529</v>
      </c>
    </row>
  </sheetData>
  <mergeCells count="12">
    <mergeCell ref="A6:A13"/>
    <mergeCell ref="B6:B13"/>
    <mergeCell ref="C6:C13"/>
    <mergeCell ref="D6:D13"/>
    <mergeCell ref="E6:E13"/>
    <mergeCell ref="H6:H13"/>
    <mergeCell ref="I6:I13"/>
    <mergeCell ref="B2:I2"/>
    <mergeCell ref="B3:I3"/>
    <mergeCell ref="C4:G4"/>
    <mergeCell ref="F6:F13"/>
    <mergeCell ref="G6:G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ВРСМБР5</vt:lpstr>
      <vt:lpstr>Разд подр №4</vt:lpstr>
      <vt:lpstr>Расшифр 1 к пр№5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</dc:creator>
  <cp:lastModifiedBy>user</cp:lastModifiedBy>
  <cp:lastPrinted>2022-01-24T12:35:20Z</cp:lastPrinted>
  <dcterms:created xsi:type="dcterms:W3CDTF">2022-01-24T12:01:38Z</dcterms:created>
  <dcterms:modified xsi:type="dcterms:W3CDTF">2022-01-24T12:35:41Z</dcterms:modified>
</cp:coreProperties>
</file>